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4.xml" ContentType="application/vnd.openxmlformats-officedocument.drawingml.char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ropbox\CIMENTO\"/>
    </mc:Choice>
  </mc:AlternateContent>
  <bookViews>
    <workbookView xWindow="0" yWindow="0" windowWidth="20400" windowHeight="7050"/>
  </bookViews>
  <sheets>
    <sheet name="MENU" sheetId="1" r:id="rId1"/>
    <sheet name="INTRODUCCION" sheetId="2" r:id="rId2"/>
    <sheet name="ESCENARIOS DE RIESGO" sheetId="12" r:id="rId3"/>
    <sheet name="RIESGO INHERENTE" sheetId="3" r:id="rId4"/>
    <sheet name="CONSOLIDADOXFACTOR RA" sheetId="17" r:id="rId5"/>
    <sheet name="CONSOLIDADOXFACTOR RI" sheetId="6" r:id="rId6"/>
    <sheet name="CONSOLIDADOXPROCESO RI" sheetId="13" r:id="rId7"/>
    <sheet name="CONTROLES" sheetId="7" r:id="rId8"/>
    <sheet name="RIESGO RESIDUAL" sheetId="8" r:id="rId9"/>
    <sheet name="CONSOLIDADOXFACTOR RR" sheetId="9" r:id="rId10"/>
    <sheet name="CONSOLIDADOXPROCESO RR" sheetId="16" r:id="rId11"/>
    <sheet name="MAPA RIESGO" sheetId="11" r:id="rId12"/>
    <sheet name="MAPA DE RIESGO FINAL" sheetId="10" r:id="rId13"/>
    <sheet name="DATOS" sheetId="4" r:id="rId14"/>
    <sheet name="Criterios" sheetId="18" r:id="rId15"/>
  </sheets>
  <externalReferences>
    <externalReference r:id="rId16"/>
  </externalReferences>
  <definedNames>
    <definedName name="_xlnm._FilterDatabase" localSheetId="13" hidden="1">DATOS!$M$1:$T$26</definedName>
    <definedName name="_xlnm._FilterDatabase" localSheetId="3" hidden="1">'RIESGO INHERENTE'!$A$12:$S$23</definedName>
    <definedName name="_xlnm._FilterDatabase" localSheetId="8" hidden="1">'RIESGO RESIDUAL'!$A$2:$M$24</definedName>
    <definedName name="TipRsg">[1]BLista!$B$4:$B$9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F33" i="3"/>
  <c r="G33" i="3"/>
  <c r="J33" i="3" s="1"/>
  <c r="H33" i="3"/>
  <c r="I33" i="3"/>
  <c r="F10" i="12" l="1"/>
  <c r="F15" i="12" l="1"/>
  <c r="D9" i="2"/>
  <c r="D12" i="2"/>
  <c r="C17" i="13" l="1"/>
  <c r="B17" i="13"/>
  <c r="C15" i="13"/>
  <c r="B15" i="13"/>
  <c r="C14" i="13"/>
  <c r="B14" i="13"/>
  <c r="C13" i="13"/>
  <c r="B13" i="13"/>
  <c r="C12" i="13"/>
  <c r="B12" i="13"/>
  <c r="C11" i="13"/>
  <c r="B11" i="13"/>
  <c r="C9" i="13"/>
  <c r="B9" i="13"/>
  <c r="B4" i="6"/>
  <c r="B1" i="6"/>
  <c r="B4" i="17"/>
  <c r="B1" i="17"/>
  <c r="E1" i="3"/>
  <c r="P32" i="3"/>
  <c r="O32" i="3"/>
  <c r="Q32" i="3" s="1"/>
  <c r="R32" i="3" s="1"/>
  <c r="S32" i="3" s="1"/>
  <c r="K32" i="3"/>
  <c r="P31" i="3"/>
  <c r="O31" i="3"/>
  <c r="K31" i="3"/>
  <c r="L31" i="3" s="1"/>
  <c r="P30" i="3"/>
  <c r="O30" i="3"/>
  <c r="K30" i="3"/>
  <c r="P29" i="3"/>
  <c r="O29" i="3"/>
  <c r="K29" i="3"/>
  <c r="P28" i="3"/>
  <c r="O28" i="3"/>
  <c r="K28" i="3"/>
  <c r="L28" i="3" s="1"/>
  <c r="P27" i="3"/>
  <c r="O27" i="3"/>
  <c r="K27" i="3"/>
  <c r="L27" i="3" s="1"/>
  <c r="P26" i="3"/>
  <c r="C10" i="13" s="1"/>
  <c r="O26" i="3"/>
  <c r="B5" i="17" s="1"/>
  <c r="K26" i="3"/>
  <c r="P25" i="3"/>
  <c r="C4" i="6" s="1"/>
  <c r="O25" i="3"/>
  <c r="K25" i="3"/>
  <c r="L25" i="3" s="1"/>
  <c r="P24" i="3"/>
  <c r="C3" i="6" s="1"/>
  <c r="O24" i="3"/>
  <c r="K24" i="3"/>
  <c r="P23" i="3"/>
  <c r="O23" i="3"/>
  <c r="K23" i="3"/>
  <c r="P22" i="3"/>
  <c r="Q22" i="3" s="1"/>
  <c r="R22" i="3" s="1"/>
  <c r="S22" i="3" s="1"/>
  <c r="O22" i="3"/>
  <c r="K22" i="3"/>
  <c r="P21" i="3"/>
  <c r="O21" i="3"/>
  <c r="K21" i="3"/>
  <c r="P20" i="3"/>
  <c r="O20" i="3"/>
  <c r="K20" i="3"/>
  <c r="L20" i="3" s="1"/>
  <c r="P19" i="3"/>
  <c r="O19" i="3"/>
  <c r="Q19" i="3" s="1"/>
  <c r="R19" i="3" s="1"/>
  <c r="S19" i="3" s="1"/>
  <c r="K19" i="3"/>
  <c r="L19" i="3" s="1"/>
  <c r="P18" i="3"/>
  <c r="O18" i="3"/>
  <c r="K18" i="3"/>
  <c r="P17" i="3"/>
  <c r="O17" i="3"/>
  <c r="K17" i="3"/>
  <c r="L17" i="3" s="1"/>
  <c r="P16" i="3"/>
  <c r="O16" i="3"/>
  <c r="K16" i="3"/>
  <c r="P15" i="3"/>
  <c r="O15" i="3"/>
  <c r="K15" i="3"/>
  <c r="P14" i="3"/>
  <c r="Q14" i="3" s="1"/>
  <c r="R14" i="3" s="1"/>
  <c r="S14" i="3" s="1"/>
  <c r="O14" i="3"/>
  <c r="K14" i="3"/>
  <c r="L14" i="3" s="1"/>
  <c r="P13" i="3"/>
  <c r="O13" i="3"/>
  <c r="K13" i="3"/>
  <c r="P12" i="3"/>
  <c r="O12" i="3"/>
  <c r="K12" i="3"/>
  <c r="L12" i="3" s="1"/>
  <c r="N1" i="3"/>
  <c r="C5" i="6" l="1"/>
  <c r="B10" i="13"/>
  <c r="B5" i="6"/>
  <c r="C16" i="13"/>
  <c r="Q24" i="3"/>
  <c r="R24" i="3" s="1"/>
  <c r="S24" i="3" s="1"/>
  <c r="B16" i="13"/>
  <c r="B3" i="17"/>
  <c r="B3" i="6"/>
  <c r="Q16" i="3"/>
  <c r="R16" i="3" s="1"/>
  <c r="S16" i="3" s="1"/>
  <c r="C2" i="6"/>
  <c r="B2" i="17"/>
  <c r="B2" i="6"/>
  <c r="Q28" i="3"/>
  <c r="R28" i="3" s="1"/>
  <c r="S28" i="3" s="1"/>
  <c r="M31" i="3"/>
  <c r="M19" i="3"/>
  <c r="M28" i="3"/>
  <c r="Q15" i="3"/>
  <c r="R15" i="3" s="1"/>
  <c r="S15" i="3" s="1"/>
  <c r="Q23" i="3"/>
  <c r="R23" i="3" s="1"/>
  <c r="S23" i="3" s="1"/>
  <c r="L26" i="3"/>
  <c r="M26" i="3" s="1"/>
  <c r="L18" i="3"/>
  <c r="M18" i="3" s="1"/>
  <c r="M20" i="3"/>
  <c r="Q29" i="3"/>
  <c r="R29" i="3" s="1"/>
  <c r="S29" i="3" s="1"/>
  <c r="L32" i="3"/>
  <c r="M32" i="3" s="1"/>
  <c r="L24" i="3"/>
  <c r="M24" i="3" s="1"/>
  <c r="L16" i="3"/>
  <c r="M16" i="3" s="1"/>
  <c r="M27" i="3"/>
  <c r="L23" i="3"/>
  <c r="M23" i="3" s="1"/>
  <c r="L15" i="3"/>
  <c r="M15" i="3" s="1"/>
  <c r="L30" i="3"/>
  <c r="M30" i="3" s="1"/>
  <c r="L22" i="3"/>
  <c r="M22" i="3" s="1"/>
  <c r="M14" i="3"/>
  <c r="M17" i="3"/>
  <c r="M25" i="3"/>
  <c r="L29" i="3"/>
  <c r="M29" i="3" s="1"/>
  <c r="L21" i="3"/>
  <c r="M21" i="3" s="1"/>
  <c r="L13" i="3"/>
  <c r="M13" i="3" s="1"/>
  <c r="Q20" i="3"/>
  <c r="R20" i="3" s="1"/>
  <c r="S20" i="3" s="1"/>
  <c r="Q30" i="3"/>
  <c r="R30" i="3" s="1"/>
  <c r="S30" i="3" s="1"/>
  <c r="Q18" i="3"/>
  <c r="R18" i="3" s="1"/>
  <c r="S18" i="3" s="1"/>
  <c r="Q31" i="3"/>
  <c r="R31" i="3" s="1"/>
  <c r="S31" i="3" s="1"/>
  <c r="Q13" i="3"/>
  <c r="R13" i="3" s="1"/>
  <c r="S13" i="3" s="1"/>
  <c r="Q21" i="3"/>
  <c r="R21" i="3" s="1"/>
  <c r="S21" i="3" s="1"/>
  <c r="Q26" i="3"/>
  <c r="R26" i="3" s="1"/>
  <c r="S26" i="3" s="1"/>
  <c r="Q25" i="3"/>
  <c r="R25" i="3" s="1"/>
  <c r="S25" i="3" s="1"/>
  <c r="O33" i="3"/>
  <c r="P33" i="3"/>
  <c r="Q17" i="3"/>
  <c r="R17" i="3" s="1"/>
  <c r="S17" i="3" s="1"/>
  <c r="Q27" i="3"/>
  <c r="R27" i="3" s="1"/>
  <c r="S27" i="3" s="1"/>
  <c r="M12" i="3"/>
  <c r="Q12" i="3"/>
  <c r="A5" i="17"/>
  <c r="A4" i="17"/>
  <c r="A3" i="17"/>
  <c r="A2" i="17"/>
  <c r="A1" i="17"/>
  <c r="AW3" i="4"/>
  <c r="AW4" i="4"/>
  <c r="AW5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" i="4"/>
  <c r="Q33" i="3" l="1"/>
  <c r="R12" i="3"/>
  <c r="S12" i="3" s="1"/>
  <c r="C5" i="17"/>
  <c r="C3" i="17"/>
  <c r="C4" i="17"/>
  <c r="C2" i="17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" i="16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2" i="13"/>
  <c r="A1" i="13"/>
  <c r="C5" i="7"/>
  <c r="C8" i="13" l="1"/>
  <c r="B8" i="13"/>
  <c r="C7" i="13"/>
  <c r="B7" i="13"/>
  <c r="B6" i="13"/>
  <c r="C6" i="13"/>
  <c r="C5" i="13"/>
  <c r="B5" i="13"/>
  <c r="C4" i="13"/>
  <c r="B4" i="13"/>
  <c r="B3" i="13"/>
  <c r="C3" i="13"/>
  <c r="C2" i="13"/>
  <c r="B2" i="13"/>
  <c r="D3" i="17"/>
  <c r="E3" i="17" s="1"/>
  <c r="D5" i="17"/>
  <c r="E5" i="17" s="1"/>
  <c r="D4" i="17"/>
  <c r="E4" i="17" s="1"/>
  <c r="D13" i="13" l="1"/>
  <c r="E13" i="13" s="1"/>
  <c r="D14" i="13"/>
  <c r="E14" i="13" s="1"/>
  <c r="D15" i="13"/>
  <c r="E15" i="13" s="1"/>
  <c r="D9" i="13"/>
  <c r="E9" i="13" s="1"/>
  <c r="D12" i="13"/>
  <c r="E12" i="13" s="1"/>
  <c r="A15" i="10"/>
  <c r="A47" i="10" s="1"/>
  <c r="B15" i="10"/>
  <c r="A16" i="10"/>
  <c r="A48" i="10" s="1"/>
  <c r="B16" i="10"/>
  <c r="A17" i="10"/>
  <c r="A49" i="10" s="1"/>
  <c r="B17" i="10"/>
  <c r="A18" i="10"/>
  <c r="A50" i="10" s="1"/>
  <c r="B18" i="10"/>
  <c r="A19" i="10"/>
  <c r="A51" i="10" s="1"/>
  <c r="B19" i="10"/>
  <c r="A20" i="10"/>
  <c r="A52" i="10" s="1"/>
  <c r="B20" i="10"/>
  <c r="A21" i="10"/>
  <c r="A53" i="10" s="1"/>
  <c r="B21" i="10"/>
  <c r="A22" i="10"/>
  <c r="A54" i="10" s="1"/>
  <c r="B22" i="10"/>
  <c r="A23" i="10"/>
  <c r="A55" i="10" s="1"/>
  <c r="B23" i="10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A2" i="9"/>
  <c r="A3" i="9"/>
  <c r="A4" i="9"/>
  <c r="A5" i="9"/>
  <c r="A66" i="7"/>
  <c r="C66" i="7" s="1"/>
  <c r="T68" i="7"/>
  <c r="Q68" i="7"/>
  <c r="O68" i="7"/>
  <c r="M68" i="7"/>
  <c r="K68" i="7"/>
  <c r="T67" i="7"/>
  <c r="Q67" i="7"/>
  <c r="O67" i="7"/>
  <c r="M67" i="7"/>
  <c r="K67" i="7"/>
  <c r="T66" i="7"/>
  <c r="Q66" i="7"/>
  <c r="O66" i="7"/>
  <c r="M66" i="7"/>
  <c r="K66" i="7"/>
  <c r="A63" i="7"/>
  <c r="T65" i="7"/>
  <c r="Q65" i="7"/>
  <c r="O65" i="7"/>
  <c r="M65" i="7"/>
  <c r="K65" i="7"/>
  <c r="T64" i="7"/>
  <c r="Q64" i="7"/>
  <c r="O64" i="7"/>
  <c r="M64" i="7"/>
  <c r="K64" i="7"/>
  <c r="T63" i="7"/>
  <c r="Q63" i="7"/>
  <c r="O63" i="7"/>
  <c r="M63" i="7"/>
  <c r="K63" i="7"/>
  <c r="A60" i="7"/>
  <c r="T62" i="7"/>
  <c r="Q62" i="7"/>
  <c r="O62" i="7"/>
  <c r="M62" i="7"/>
  <c r="K62" i="7"/>
  <c r="T61" i="7"/>
  <c r="Q61" i="7"/>
  <c r="R61" i="7" s="1"/>
  <c r="O61" i="7"/>
  <c r="M61" i="7"/>
  <c r="K61" i="7"/>
  <c r="T60" i="7"/>
  <c r="Q60" i="7"/>
  <c r="O60" i="7"/>
  <c r="M60" i="7"/>
  <c r="K60" i="7"/>
  <c r="A57" i="7"/>
  <c r="T59" i="7"/>
  <c r="Q59" i="7"/>
  <c r="O59" i="7"/>
  <c r="M59" i="7"/>
  <c r="K59" i="7"/>
  <c r="T58" i="7"/>
  <c r="Q58" i="7"/>
  <c r="O58" i="7"/>
  <c r="M58" i="7"/>
  <c r="K58" i="7"/>
  <c r="T57" i="7"/>
  <c r="Q57" i="7"/>
  <c r="R57" i="7" s="1"/>
  <c r="O57" i="7"/>
  <c r="M57" i="7"/>
  <c r="K57" i="7"/>
  <c r="A54" i="7"/>
  <c r="T56" i="7"/>
  <c r="Q56" i="7"/>
  <c r="O56" i="7"/>
  <c r="M56" i="7"/>
  <c r="K56" i="7"/>
  <c r="T55" i="7"/>
  <c r="Q55" i="7"/>
  <c r="O55" i="7"/>
  <c r="M55" i="7"/>
  <c r="K55" i="7"/>
  <c r="T54" i="7"/>
  <c r="Q54" i="7"/>
  <c r="O54" i="7"/>
  <c r="M54" i="7"/>
  <c r="K54" i="7"/>
  <c r="A51" i="7"/>
  <c r="T53" i="7"/>
  <c r="Q53" i="7"/>
  <c r="O53" i="7"/>
  <c r="M53" i="7"/>
  <c r="K53" i="7"/>
  <c r="T52" i="7"/>
  <c r="Q52" i="7"/>
  <c r="O52" i="7"/>
  <c r="M52" i="7"/>
  <c r="K52" i="7"/>
  <c r="T51" i="7"/>
  <c r="Q51" i="7"/>
  <c r="O51" i="7"/>
  <c r="M51" i="7"/>
  <c r="K51" i="7"/>
  <c r="A48" i="7"/>
  <c r="T50" i="7"/>
  <c r="Q50" i="7"/>
  <c r="O50" i="7"/>
  <c r="M50" i="7"/>
  <c r="K50" i="7"/>
  <c r="T49" i="7"/>
  <c r="Q49" i="7"/>
  <c r="O49" i="7"/>
  <c r="M49" i="7"/>
  <c r="K49" i="7"/>
  <c r="T48" i="7"/>
  <c r="Q48" i="7"/>
  <c r="O48" i="7"/>
  <c r="M48" i="7"/>
  <c r="K48" i="7"/>
  <c r="A45" i="7"/>
  <c r="T47" i="7"/>
  <c r="Q47" i="7"/>
  <c r="O47" i="7"/>
  <c r="M47" i="7"/>
  <c r="K47" i="7"/>
  <c r="T46" i="7"/>
  <c r="Q46" i="7"/>
  <c r="O46" i="7"/>
  <c r="M46" i="7"/>
  <c r="K46" i="7"/>
  <c r="T45" i="7"/>
  <c r="Q45" i="7"/>
  <c r="O45" i="7"/>
  <c r="M45" i="7"/>
  <c r="K45" i="7"/>
  <c r="A42" i="7"/>
  <c r="T44" i="7"/>
  <c r="Q44" i="7"/>
  <c r="O44" i="7"/>
  <c r="M44" i="7"/>
  <c r="K44" i="7"/>
  <c r="T43" i="7"/>
  <c r="Q43" i="7"/>
  <c r="O43" i="7"/>
  <c r="M43" i="7"/>
  <c r="K43" i="7"/>
  <c r="T42" i="7"/>
  <c r="Q42" i="7"/>
  <c r="O42" i="7"/>
  <c r="M42" i="7"/>
  <c r="K42" i="7"/>
  <c r="E25" i="12"/>
  <c r="H25" i="12" s="1"/>
  <c r="E26" i="12"/>
  <c r="H26" i="12" s="1"/>
  <c r="E27" i="12"/>
  <c r="H27" i="12" s="1"/>
  <c r="E28" i="12"/>
  <c r="H28" i="12" s="1"/>
  <c r="E29" i="12"/>
  <c r="H29" i="12" s="1"/>
  <c r="E30" i="12"/>
  <c r="H30" i="12" s="1"/>
  <c r="E31" i="12"/>
  <c r="H31" i="12" s="1"/>
  <c r="E32" i="12"/>
  <c r="H32" i="12" s="1"/>
  <c r="E33" i="12"/>
  <c r="H33" i="12" s="1"/>
  <c r="E34" i="12"/>
  <c r="H34" i="12" s="1"/>
  <c r="E35" i="12"/>
  <c r="H35" i="12" s="1"/>
  <c r="E36" i="12"/>
  <c r="H36" i="12" s="1"/>
  <c r="E37" i="12"/>
  <c r="H37" i="12" s="1"/>
  <c r="E38" i="12"/>
  <c r="H38" i="12" s="1"/>
  <c r="E39" i="12"/>
  <c r="H39" i="12" s="1"/>
  <c r="E40" i="12"/>
  <c r="H40" i="12" s="1"/>
  <c r="E24" i="12"/>
  <c r="H24" i="12" s="1"/>
  <c r="E23" i="12"/>
  <c r="H23" i="12" s="1"/>
  <c r="E22" i="12"/>
  <c r="H22" i="12" s="1"/>
  <c r="E21" i="12"/>
  <c r="H21" i="12" s="1"/>
  <c r="E20" i="12"/>
  <c r="H20" i="12" s="1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E17" i="8" l="1"/>
  <c r="F17" i="8"/>
  <c r="G17" i="8"/>
  <c r="E21" i="8"/>
  <c r="G21" i="8"/>
  <c r="F21" i="8"/>
  <c r="E15" i="8"/>
  <c r="G15" i="8"/>
  <c r="F15" i="8"/>
  <c r="E18" i="8"/>
  <c r="F18" i="8"/>
  <c r="G18" i="8"/>
  <c r="E22" i="8"/>
  <c r="G22" i="8"/>
  <c r="F22" i="8"/>
  <c r="E23" i="8"/>
  <c r="G23" i="8"/>
  <c r="F23" i="8"/>
  <c r="E19" i="8"/>
  <c r="F19" i="8"/>
  <c r="G19" i="8"/>
  <c r="E16" i="8"/>
  <c r="F16" i="8"/>
  <c r="G16" i="8"/>
  <c r="E20" i="8"/>
  <c r="G20" i="8"/>
  <c r="F20" i="8"/>
  <c r="B66" i="7"/>
  <c r="B45" i="7"/>
  <c r="C45" i="7"/>
  <c r="B60" i="7"/>
  <c r="C60" i="7"/>
  <c r="D22" i="8"/>
  <c r="D15" i="8"/>
  <c r="D19" i="8"/>
  <c r="D23" i="8"/>
  <c r="B42" i="7"/>
  <c r="C42" i="7"/>
  <c r="B48" i="7"/>
  <c r="C48" i="7"/>
  <c r="B54" i="7"/>
  <c r="C54" i="7"/>
  <c r="B63" i="7"/>
  <c r="C63" i="7"/>
  <c r="B51" i="7"/>
  <c r="C51" i="7"/>
  <c r="B57" i="7"/>
  <c r="C57" i="7"/>
  <c r="D17" i="8"/>
  <c r="D21" i="8"/>
  <c r="D16" i="8"/>
  <c r="D18" i="8"/>
  <c r="D20" i="8"/>
  <c r="U57" i="7"/>
  <c r="R67" i="7"/>
  <c r="R51" i="7"/>
  <c r="U51" i="7" s="1"/>
  <c r="R54" i="7"/>
  <c r="U54" i="7" s="1"/>
  <c r="R60" i="7"/>
  <c r="U60" i="7" s="1"/>
  <c r="R48" i="7"/>
  <c r="U48" i="7" s="1"/>
  <c r="R46" i="7"/>
  <c r="R55" i="7"/>
  <c r="U55" i="7" s="1"/>
  <c r="R45" i="7"/>
  <c r="U45" i="7" s="1"/>
  <c r="U67" i="7"/>
  <c r="U61" i="7"/>
  <c r="R43" i="7"/>
  <c r="U43" i="7" s="1"/>
  <c r="R42" i="7"/>
  <c r="U42" i="7" s="1"/>
  <c r="R44" i="7"/>
  <c r="U44" i="7" s="1"/>
  <c r="R63" i="7"/>
  <c r="U63" i="7" s="1"/>
  <c r="R47" i="7"/>
  <c r="U47" i="7" s="1"/>
  <c r="R53" i="7"/>
  <c r="U53" i="7" s="1"/>
  <c r="R56" i="7"/>
  <c r="U56" i="7" s="1"/>
  <c r="R59" i="7"/>
  <c r="U59" i="7" s="1"/>
  <c r="R66" i="7"/>
  <c r="U66" i="7" s="1"/>
  <c r="R49" i="7"/>
  <c r="U49" i="7" s="1"/>
  <c r="R62" i="7"/>
  <c r="U62" i="7" s="1"/>
  <c r="R65" i="7"/>
  <c r="U65" i="7" s="1"/>
  <c r="R50" i="7"/>
  <c r="U50" i="7" s="1"/>
  <c r="R52" i="7"/>
  <c r="U52" i="7" s="1"/>
  <c r="R58" i="7"/>
  <c r="U58" i="7" s="1"/>
  <c r="U46" i="7"/>
  <c r="R64" i="7"/>
  <c r="U64" i="7" s="1"/>
  <c r="R68" i="7"/>
  <c r="U68" i="7" s="1"/>
  <c r="T41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6" i="7"/>
  <c r="V42" i="7" l="1"/>
  <c r="W42" i="7" s="1"/>
  <c r="V60" i="7"/>
  <c r="W60" i="7" s="1"/>
  <c r="V66" i="7"/>
  <c r="W66" i="7" s="1"/>
  <c r="V57" i="7"/>
  <c r="W57" i="7" s="1"/>
  <c r="V54" i="7"/>
  <c r="W54" i="7" s="1"/>
  <c r="V51" i="7"/>
  <c r="W51" i="7" s="1"/>
  <c r="V48" i="7"/>
  <c r="W48" i="7" s="1"/>
  <c r="V45" i="7"/>
  <c r="W45" i="7" s="1"/>
  <c r="V63" i="7"/>
  <c r="W63" i="7" s="1"/>
  <c r="R11" i="7"/>
  <c r="U11" i="7" s="1"/>
  <c r="R9" i="7"/>
  <c r="U9" i="7" s="1"/>
  <c r="R31" i="7"/>
  <c r="U31" i="7" s="1"/>
  <c r="R32" i="7"/>
  <c r="U32" i="7" s="1"/>
  <c r="R24" i="7"/>
  <c r="U24" i="7" s="1"/>
  <c r="R33" i="7"/>
  <c r="U33" i="7" s="1"/>
  <c r="R10" i="7"/>
  <c r="U10" i="7" s="1"/>
  <c r="R41" i="7"/>
  <c r="U41" i="7" s="1"/>
  <c r="R38" i="7"/>
  <c r="U38" i="7" s="1"/>
  <c r="R34" i="7"/>
  <c r="U34" i="7" s="1"/>
  <c r="R29" i="7"/>
  <c r="U29" i="7" s="1"/>
  <c r="R25" i="7"/>
  <c r="U25" i="7" s="1"/>
  <c r="R23" i="7"/>
  <c r="U23" i="7" s="1"/>
  <c r="R19" i="7"/>
  <c r="U19" i="7" s="1"/>
  <c r="R17" i="7"/>
  <c r="U17" i="7" s="1"/>
  <c r="R13" i="7"/>
  <c r="U13" i="7" s="1"/>
  <c r="R8" i="7"/>
  <c r="U8" i="7" s="1"/>
  <c r="R7" i="7"/>
  <c r="U7" i="7" s="1"/>
  <c r="R14" i="7"/>
  <c r="U14" i="7" s="1"/>
  <c r="R16" i="7"/>
  <c r="U16" i="7" s="1"/>
  <c r="R27" i="7"/>
  <c r="U27" i="7" s="1"/>
  <c r="R18" i="7"/>
  <c r="U18" i="7" s="1"/>
  <c r="R12" i="7"/>
  <c r="U12" i="7" s="1"/>
  <c r="R21" i="7"/>
  <c r="U21" i="7" s="1"/>
  <c r="R36" i="7"/>
  <c r="U36" i="7" s="1"/>
  <c r="R40" i="7"/>
  <c r="U40" i="7" s="1"/>
  <c r="R30" i="7"/>
  <c r="U30" i="7" s="1"/>
  <c r="R15" i="7"/>
  <c r="U15" i="7" s="1"/>
  <c r="R26" i="7"/>
  <c r="U26" i="7" s="1"/>
  <c r="R28" i="7"/>
  <c r="U28" i="7" s="1"/>
  <c r="R20" i="7"/>
  <c r="U20" i="7" s="1"/>
  <c r="R22" i="7"/>
  <c r="U22" i="7" s="1"/>
  <c r="R35" i="7"/>
  <c r="U35" i="7" s="1"/>
  <c r="R37" i="7"/>
  <c r="U37" i="7" s="1"/>
  <c r="R39" i="7"/>
  <c r="U39" i="7" s="1"/>
  <c r="R6" i="7"/>
  <c r="U6" i="7" s="1"/>
  <c r="V9" i="7" l="1"/>
  <c r="W9" i="7" s="1"/>
  <c r="V30" i="7"/>
  <c r="W30" i="7" s="1"/>
  <c r="V39" i="7"/>
  <c r="W39" i="7" s="1"/>
  <c r="V36" i="7"/>
  <c r="W36" i="7" s="1"/>
  <c r="V33" i="7"/>
  <c r="W33" i="7" s="1"/>
  <c r="V27" i="7"/>
  <c r="W27" i="7" s="1"/>
  <c r="V12" i="7"/>
  <c r="W12" i="7" s="1"/>
  <c r="V21" i="7"/>
  <c r="W21" i="7" s="1"/>
  <c r="V18" i="7"/>
  <c r="W18" i="7" s="1"/>
  <c r="V15" i="7"/>
  <c r="W15" i="7" s="1"/>
  <c r="V24" i="7"/>
  <c r="W24" i="7" s="1"/>
  <c r="F31" i="12" l="1"/>
  <c r="F30" i="12"/>
  <c r="F29" i="12"/>
  <c r="F28" i="12"/>
  <c r="F27" i="12"/>
  <c r="F26" i="12"/>
  <c r="F25" i="12"/>
  <c r="F24" i="12"/>
  <c r="F23" i="12"/>
  <c r="F22" i="12"/>
  <c r="F21" i="12"/>
  <c r="F20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A2" i="8" l="1"/>
  <c r="B2" i="8"/>
  <c r="C2" i="8"/>
  <c r="D2" i="8"/>
  <c r="A3" i="8"/>
  <c r="E3" i="8" s="1"/>
  <c r="B3" i="8"/>
  <c r="D2" i="10"/>
  <c r="C2" i="10"/>
  <c r="B2" i="10"/>
  <c r="B3" i="10"/>
  <c r="D3" i="8" l="1"/>
  <c r="B5" i="7"/>
  <c r="C1" i="6"/>
  <c r="C1" i="13" l="1"/>
  <c r="C1" i="16"/>
  <c r="B1" i="13"/>
  <c r="B1" i="16"/>
  <c r="A1" i="6"/>
  <c r="A7" i="10" l="1"/>
  <c r="A39" i="10" s="1"/>
  <c r="B6" i="10"/>
  <c r="B7" i="10"/>
  <c r="B4" i="10"/>
  <c r="B5" i="10"/>
  <c r="B8" i="10"/>
  <c r="B9" i="10"/>
  <c r="B10" i="10"/>
  <c r="B11" i="10"/>
  <c r="B12" i="10"/>
  <c r="B13" i="10"/>
  <c r="B14" i="10"/>
  <c r="A2" i="10"/>
  <c r="A3" i="10"/>
  <c r="A35" i="10" s="1"/>
  <c r="A4" i="10"/>
  <c r="A36" i="10" s="1"/>
  <c r="A5" i="10"/>
  <c r="A37" i="10" s="1"/>
  <c r="A6" i="10"/>
  <c r="A38" i="10" s="1"/>
  <c r="A8" i="10"/>
  <c r="A40" i="10" s="1"/>
  <c r="A9" i="10"/>
  <c r="A41" i="10" s="1"/>
  <c r="A10" i="10"/>
  <c r="A42" i="10" s="1"/>
  <c r="A11" i="10"/>
  <c r="A43" i="10" s="1"/>
  <c r="A12" i="10"/>
  <c r="A44" i="10" s="1"/>
  <c r="A13" i="10"/>
  <c r="A45" i="10" s="1"/>
  <c r="A14" i="10"/>
  <c r="A46" i="10" s="1"/>
  <c r="J2" i="8" l="1"/>
  <c r="B4" i="8"/>
  <c r="B5" i="8"/>
  <c r="B6" i="8"/>
  <c r="B7" i="8"/>
  <c r="B8" i="8"/>
  <c r="B9" i="8"/>
  <c r="B10" i="8"/>
  <c r="B11" i="8"/>
  <c r="B12" i="8"/>
  <c r="B13" i="8"/>
  <c r="B14" i="8"/>
  <c r="A4" i="8"/>
  <c r="A5" i="8"/>
  <c r="A6" i="8"/>
  <c r="A7" i="8"/>
  <c r="A8" i="8"/>
  <c r="A9" i="8"/>
  <c r="A10" i="8"/>
  <c r="A11" i="8"/>
  <c r="A12" i="8"/>
  <c r="A13" i="8"/>
  <c r="A14" i="8"/>
  <c r="E10" i="8" l="1"/>
  <c r="E9" i="8"/>
  <c r="E8" i="8"/>
  <c r="E7" i="8"/>
  <c r="E14" i="8"/>
  <c r="E6" i="8"/>
  <c r="E13" i="8"/>
  <c r="E5" i="8"/>
  <c r="E12" i="8"/>
  <c r="E4" i="8"/>
  <c r="E11" i="8"/>
  <c r="D12" i="8"/>
  <c r="D4" i="8"/>
  <c r="D11" i="8"/>
  <c r="D10" i="8"/>
  <c r="D9" i="8"/>
  <c r="D8" i="8"/>
  <c r="D7" i="8"/>
  <c r="D14" i="8"/>
  <c r="D6" i="8"/>
  <c r="D13" i="8"/>
  <c r="D5" i="8"/>
  <c r="C15" i="16" l="1"/>
  <c r="B13" i="16"/>
  <c r="B12" i="16"/>
  <c r="B15" i="16"/>
  <c r="C12" i="16"/>
  <c r="C13" i="16"/>
  <c r="B9" i="16"/>
  <c r="B14" i="16"/>
  <c r="C9" i="16"/>
  <c r="C14" i="16"/>
  <c r="V6" i="7"/>
  <c r="D15" i="16" l="1"/>
  <c r="E15" i="16" s="1"/>
  <c r="D13" i="16"/>
  <c r="E13" i="16" s="1"/>
  <c r="D9" i="16"/>
  <c r="E9" i="16" s="1"/>
  <c r="D12" i="16"/>
  <c r="E12" i="16" s="1"/>
  <c r="D14" i="16"/>
  <c r="E14" i="16" s="1"/>
  <c r="W6" i="7"/>
  <c r="A6" i="7"/>
  <c r="A9" i="7"/>
  <c r="A12" i="7"/>
  <c r="A15" i="7"/>
  <c r="A18" i="7"/>
  <c r="A21" i="7"/>
  <c r="A24" i="7"/>
  <c r="A27" i="7"/>
  <c r="A30" i="7"/>
  <c r="A33" i="7"/>
  <c r="A36" i="7"/>
  <c r="A39" i="7"/>
  <c r="A5" i="7"/>
  <c r="A2" i="6"/>
  <c r="A3" i="6"/>
  <c r="A4" i="6"/>
  <c r="A5" i="6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" i="4"/>
  <c r="G12" i="8"/>
  <c r="F10" i="8"/>
  <c r="F11" i="8"/>
  <c r="F3" i="8"/>
  <c r="G11" i="8" l="1"/>
  <c r="G10" i="8"/>
  <c r="G13" i="8"/>
  <c r="G3" i="8"/>
  <c r="D2" i="17"/>
  <c r="E2" i="17" s="1"/>
  <c r="F6" i="8"/>
  <c r="F5" i="8"/>
  <c r="F4" i="8"/>
  <c r="G8" i="8"/>
  <c r="F14" i="8"/>
  <c r="C13" i="10"/>
  <c r="F13" i="8"/>
  <c r="G9" i="8"/>
  <c r="C12" i="10"/>
  <c r="F12" i="8"/>
  <c r="G7" i="8"/>
  <c r="G6" i="8"/>
  <c r="G4" i="8"/>
  <c r="G14" i="8"/>
  <c r="F9" i="8"/>
  <c r="G5" i="8"/>
  <c r="F8" i="8"/>
  <c r="F7" i="8"/>
  <c r="C14" i="10"/>
  <c r="B21" i="7"/>
  <c r="C21" i="7"/>
  <c r="C15" i="8"/>
  <c r="C19" i="8"/>
  <c r="C23" i="8"/>
  <c r="C16" i="8"/>
  <c r="C17" i="8"/>
  <c r="C18" i="8"/>
  <c r="C20" i="8"/>
  <c r="C21" i="8"/>
  <c r="C22" i="8"/>
  <c r="C3" i="8"/>
  <c r="J3" i="8" s="1"/>
  <c r="C9" i="8"/>
  <c r="C7" i="8"/>
  <c r="C14" i="8"/>
  <c r="C6" i="8"/>
  <c r="C12" i="8"/>
  <c r="C13" i="8"/>
  <c r="C4" i="8"/>
  <c r="C11" i="8"/>
  <c r="C8" i="8"/>
  <c r="C10" i="8"/>
  <c r="C5" i="8"/>
  <c r="B18" i="7"/>
  <c r="C18" i="7"/>
  <c r="B39" i="7"/>
  <c r="C39" i="7"/>
  <c r="B15" i="7"/>
  <c r="C15" i="7"/>
  <c r="B36" i="7"/>
  <c r="C36" i="7"/>
  <c r="B12" i="7"/>
  <c r="C12" i="7"/>
  <c r="B24" i="7"/>
  <c r="C24" i="7"/>
  <c r="B33" i="7"/>
  <c r="C33" i="7"/>
  <c r="B9" i="7"/>
  <c r="C9" i="7"/>
  <c r="B30" i="7"/>
  <c r="C30" i="7"/>
  <c r="B6" i="7"/>
  <c r="C6" i="7"/>
  <c r="B27" i="7"/>
  <c r="C27" i="7"/>
  <c r="C11" i="10"/>
  <c r="C5" i="10"/>
  <c r="C10" i="10"/>
  <c r="C9" i="10"/>
  <c r="C4" i="10"/>
  <c r="C8" i="10"/>
  <c r="C7" i="10"/>
  <c r="C6" i="10"/>
  <c r="D9" i="10"/>
  <c r="D3" i="10"/>
  <c r="D7" i="10"/>
  <c r="D14" i="10"/>
  <c r="D6" i="10"/>
  <c r="D8" i="10"/>
  <c r="D13" i="10"/>
  <c r="D5" i="10"/>
  <c r="D12" i="10"/>
  <c r="D4" i="10"/>
  <c r="D11" i="10"/>
  <c r="D10" i="10"/>
  <c r="C3" i="10"/>
  <c r="S13" i="10" l="1"/>
  <c r="T13" i="10" s="1"/>
  <c r="J12" i="8"/>
  <c r="C44" i="10" s="1"/>
  <c r="K4" i="8"/>
  <c r="C3" i="16" s="1"/>
  <c r="J13" i="8"/>
  <c r="C45" i="10" s="1"/>
  <c r="K5" i="8"/>
  <c r="K13" i="8"/>
  <c r="BC12" i="10"/>
  <c r="BD12" i="10" s="1"/>
  <c r="J11" i="8"/>
  <c r="C43" i="10" s="1"/>
  <c r="K12" i="8"/>
  <c r="AM14" i="10"/>
  <c r="AN14" i="10" s="1"/>
  <c r="J4" i="8"/>
  <c r="B3" i="16" s="1"/>
  <c r="J7" i="8"/>
  <c r="K6" i="8"/>
  <c r="K11" i="8"/>
  <c r="J6" i="8"/>
  <c r="K7" i="8"/>
  <c r="J10" i="8"/>
  <c r="K10" i="8"/>
  <c r="J8" i="8"/>
  <c r="J9" i="8"/>
  <c r="B8" i="16" s="1"/>
  <c r="K8" i="8"/>
  <c r="J5" i="8"/>
  <c r="J14" i="8"/>
  <c r="K9" i="8"/>
  <c r="C8" i="16" s="1"/>
  <c r="K3" i="8"/>
  <c r="I14" i="8"/>
  <c r="K14" i="8"/>
  <c r="C15" i="10"/>
  <c r="I3" i="8"/>
  <c r="I13" i="8"/>
  <c r="D15" i="10"/>
  <c r="J15" i="8"/>
  <c r="B16" i="16" s="1"/>
  <c r="K15" i="8"/>
  <c r="C16" i="16" s="1"/>
  <c r="G8" i="10"/>
  <c r="H8" i="10" s="1"/>
  <c r="AU9" i="10"/>
  <c r="AV9" i="10" s="1"/>
  <c r="U11" i="10"/>
  <c r="V11" i="10" s="1"/>
  <c r="U8" i="10"/>
  <c r="V8" i="10" s="1"/>
  <c r="AG9" i="10"/>
  <c r="AH9" i="10" s="1"/>
  <c r="AK3" i="10"/>
  <c r="AL3" i="10" s="1"/>
  <c r="AQ14" i="10"/>
  <c r="AR14" i="10" s="1"/>
  <c r="AM13" i="10"/>
  <c r="AN13" i="10" s="1"/>
  <c r="I14" i="10"/>
  <c r="J14" i="10" s="1"/>
  <c r="Y14" i="10"/>
  <c r="Z14" i="10" s="1"/>
  <c r="H11" i="8"/>
  <c r="AE12" i="10"/>
  <c r="AF12" i="10" s="1"/>
  <c r="W10" i="10"/>
  <c r="X10" i="10" s="1"/>
  <c r="I7" i="8"/>
  <c r="Y3" i="10"/>
  <c r="Z3" i="10" s="1"/>
  <c r="I4" i="8"/>
  <c r="I5" i="8"/>
  <c r="I11" i="8"/>
  <c r="AO13" i="10"/>
  <c r="AP13" i="10" s="1"/>
  <c r="K14" i="10"/>
  <c r="L14" i="10" s="1"/>
  <c r="AS7" i="10"/>
  <c r="AT7" i="10" s="1"/>
  <c r="AM6" i="10"/>
  <c r="AN6" i="10" s="1"/>
  <c r="BC9" i="10"/>
  <c r="BD9" i="10" s="1"/>
  <c r="Q14" i="10"/>
  <c r="R14" i="10" s="1"/>
  <c r="BA7" i="10"/>
  <c r="BB7" i="10" s="1"/>
  <c r="AG14" i="10"/>
  <c r="AH14" i="10" s="1"/>
  <c r="O14" i="10"/>
  <c r="P14" i="10" s="1"/>
  <c r="AW13" i="10"/>
  <c r="AX13" i="10" s="1"/>
  <c r="AO6" i="10"/>
  <c r="AP6" i="10" s="1"/>
  <c r="BA14" i="10"/>
  <c r="BB14" i="10" s="1"/>
  <c r="BC5" i="10"/>
  <c r="BD5" i="10" s="1"/>
  <c r="AW14" i="10"/>
  <c r="AX14" i="10" s="1"/>
  <c r="AO9" i="10"/>
  <c r="AP9" i="10" s="1"/>
  <c r="G13" i="10"/>
  <c r="H13" i="10" s="1"/>
  <c r="U9" i="10"/>
  <c r="V9" i="10" s="1"/>
  <c r="AY9" i="10"/>
  <c r="AZ9" i="10" s="1"/>
  <c r="K9" i="10"/>
  <c r="L9" i="10" s="1"/>
  <c r="M9" i="10"/>
  <c r="N9" i="10" s="1"/>
  <c r="I6" i="10"/>
  <c r="J6" i="10" s="1"/>
  <c r="AA14" i="10"/>
  <c r="AB14" i="10" s="1"/>
  <c r="BC14" i="10"/>
  <c r="BD14" i="10" s="1"/>
  <c r="AS9" i="10"/>
  <c r="AT9" i="10" s="1"/>
  <c r="U6" i="10"/>
  <c r="V6" i="10" s="1"/>
  <c r="H5" i="8"/>
  <c r="AE5" i="10"/>
  <c r="AF5" i="10" s="1"/>
  <c r="AI7" i="10"/>
  <c r="AJ7" i="10" s="1"/>
  <c r="O9" i="10"/>
  <c r="P9" i="10" s="1"/>
  <c r="AO12" i="10"/>
  <c r="AP12" i="10" s="1"/>
  <c r="Q7" i="10"/>
  <c r="R7" i="10" s="1"/>
  <c r="AE9" i="10"/>
  <c r="AF9" i="10" s="1"/>
  <c r="K12" i="10"/>
  <c r="L12" i="10" s="1"/>
  <c r="BA4" i="10"/>
  <c r="BB4" i="10" s="1"/>
  <c r="AI9" i="10"/>
  <c r="AJ9" i="10" s="1"/>
  <c r="BA9" i="10"/>
  <c r="BB9" i="10" s="1"/>
  <c r="AA9" i="10"/>
  <c r="AB9" i="10" s="1"/>
  <c r="G9" i="10"/>
  <c r="H9" i="10" s="1"/>
  <c r="O12" i="10"/>
  <c r="P12" i="10" s="1"/>
  <c r="Y13" i="10"/>
  <c r="Z13" i="10" s="1"/>
  <c r="AS3" i="10"/>
  <c r="AT3" i="10" s="1"/>
  <c r="AU8" i="10"/>
  <c r="AV8" i="10" s="1"/>
  <c r="W9" i="10"/>
  <c r="X9" i="10" s="1"/>
  <c r="BA12" i="10"/>
  <c r="BB12" i="10" s="1"/>
  <c r="U5" i="10"/>
  <c r="V5" i="10" s="1"/>
  <c r="AI12" i="10"/>
  <c r="AJ12" i="10" s="1"/>
  <c r="AE6" i="10"/>
  <c r="AF6" i="10" s="1"/>
  <c r="I12" i="10"/>
  <c r="J12" i="10" s="1"/>
  <c r="Q12" i="10"/>
  <c r="R12" i="10" s="1"/>
  <c r="AU6" i="10"/>
  <c r="AV6" i="10" s="1"/>
  <c r="Y9" i="10"/>
  <c r="Z9" i="10" s="1"/>
  <c r="S9" i="10"/>
  <c r="T9" i="10" s="1"/>
  <c r="AK9" i="10"/>
  <c r="AL9" i="10" s="1"/>
  <c r="Y12" i="10"/>
  <c r="Z12" i="10" s="1"/>
  <c r="AG12" i="10"/>
  <c r="AH12" i="10" s="1"/>
  <c r="AG6" i="10"/>
  <c r="AH6" i="10" s="1"/>
  <c r="AQ12" i="10"/>
  <c r="AR12" i="10" s="1"/>
  <c r="W12" i="10"/>
  <c r="X12" i="10" s="1"/>
  <c r="AQ9" i="10"/>
  <c r="AR9" i="10" s="1"/>
  <c r="Q9" i="10"/>
  <c r="R9" i="10" s="1"/>
  <c r="AM9" i="10"/>
  <c r="AN9" i="10" s="1"/>
  <c r="G12" i="10"/>
  <c r="H12" i="10" s="1"/>
  <c r="AM12" i="10"/>
  <c r="AN12" i="10" s="1"/>
  <c r="Y10" i="10"/>
  <c r="Z10" i="10" s="1"/>
  <c r="AE10" i="10"/>
  <c r="AF10" i="10" s="1"/>
  <c r="G10" i="10"/>
  <c r="H10" i="10" s="1"/>
  <c r="AQ11" i="10"/>
  <c r="AR11" i="10" s="1"/>
  <c r="Q10" i="10"/>
  <c r="R10" i="10" s="1"/>
  <c r="AC6" i="10"/>
  <c r="AD6" i="10" s="1"/>
  <c r="S11" i="10"/>
  <c r="T11" i="10" s="1"/>
  <c r="W5" i="10"/>
  <c r="X5" i="10" s="1"/>
  <c r="AQ10" i="10"/>
  <c r="AR10" i="10" s="1"/>
  <c r="U10" i="10"/>
  <c r="V10" i="10" s="1"/>
  <c r="AW6" i="10"/>
  <c r="AX6" i="10" s="1"/>
  <c r="Y5" i="10"/>
  <c r="Z5" i="10" s="1"/>
  <c r="M10" i="10"/>
  <c r="N10" i="10" s="1"/>
  <c r="AA10" i="10"/>
  <c r="AB10" i="10" s="1"/>
  <c r="AM10" i="10"/>
  <c r="AN10" i="10" s="1"/>
  <c r="K5" i="10"/>
  <c r="L5" i="10" s="1"/>
  <c r="AC10" i="10"/>
  <c r="AD10" i="10" s="1"/>
  <c r="BC10" i="10"/>
  <c r="BD10" i="10" s="1"/>
  <c r="Y6" i="10"/>
  <c r="Z6" i="10" s="1"/>
  <c r="AK6" i="10"/>
  <c r="AL6" i="10" s="1"/>
  <c r="AA5" i="10"/>
  <c r="AB5" i="10" s="1"/>
  <c r="BA3" i="10"/>
  <c r="BB3" i="10" s="1"/>
  <c r="S10" i="10"/>
  <c r="T10" i="10" s="1"/>
  <c r="K6" i="10"/>
  <c r="L6" i="10" s="1"/>
  <c r="BC6" i="10"/>
  <c r="BD6" i="10" s="1"/>
  <c r="M5" i="10"/>
  <c r="N5" i="10" s="1"/>
  <c r="AG10" i="10"/>
  <c r="AH10" i="10" s="1"/>
  <c r="AY13" i="10"/>
  <c r="AZ13" i="10" s="1"/>
  <c r="AS14" i="10"/>
  <c r="AT14" i="10" s="1"/>
  <c r="AC13" i="10"/>
  <c r="AD13" i="10" s="1"/>
  <c r="U14" i="10"/>
  <c r="V14" i="10" s="1"/>
  <c r="M13" i="10"/>
  <c r="N13" i="10" s="1"/>
  <c r="AA6" i="10"/>
  <c r="AB6" i="10" s="1"/>
  <c r="W6" i="10"/>
  <c r="X6" i="10" s="1"/>
  <c r="AS13" i="10"/>
  <c r="AT13" i="10" s="1"/>
  <c r="AK14" i="10"/>
  <c r="AL14" i="10" s="1"/>
  <c r="BC13" i="10"/>
  <c r="BD13" i="10" s="1"/>
  <c r="S3" i="10"/>
  <c r="T3" i="10" s="1"/>
  <c r="AM7" i="10"/>
  <c r="AN7" i="10" s="1"/>
  <c r="M12" i="10"/>
  <c r="N12" i="10" s="1"/>
  <c r="U12" i="10"/>
  <c r="V12" i="10" s="1"/>
  <c r="AC3" i="10"/>
  <c r="AD3" i="10" s="1"/>
  <c r="BC7" i="10"/>
  <c r="BD7" i="10" s="1"/>
  <c r="I9" i="10"/>
  <c r="J9" i="10" s="1"/>
  <c r="AC9" i="10"/>
  <c r="AD9" i="10" s="1"/>
  <c r="AW9" i="10"/>
  <c r="AX9" i="10" s="1"/>
  <c r="AS12" i="10"/>
  <c r="AT12" i="10" s="1"/>
  <c r="AK12" i="10"/>
  <c r="AL12" i="10" s="1"/>
  <c r="M6" i="10"/>
  <c r="N6" i="10" s="1"/>
  <c r="AY6" i="10"/>
  <c r="AZ6" i="10" s="1"/>
  <c r="Y7" i="10"/>
  <c r="Z7" i="10" s="1"/>
  <c r="O3" i="10"/>
  <c r="P3" i="10" s="1"/>
  <c r="U3" i="10"/>
  <c r="V3" i="10" s="1"/>
  <c r="AW3" i="10"/>
  <c r="AX3" i="10" s="1"/>
  <c r="AA13" i="10"/>
  <c r="AB13" i="10" s="1"/>
  <c r="AE14" i="10"/>
  <c r="AF14" i="10" s="1"/>
  <c r="S14" i="10"/>
  <c r="T14" i="10" s="1"/>
  <c r="AK13" i="10"/>
  <c r="AL13" i="10" s="1"/>
  <c r="AO14" i="10"/>
  <c r="AP14" i="10" s="1"/>
  <c r="I10" i="10"/>
  <c r="J10" i="10" s="1"/>
  <c r="AS10" i="10"/>
  <c r="AT10" i="10" s="1"/>
  <c r="AW10" i="10"/>
  <c r="AX10" i="10" s="1"/>
  <c r="G6" i="10"/>
  <c r="H6" i="10" s="1"/>
  <c r="O6" i="10"/>
  <c r="P6" i="10" s="1"/>
  <c r="BA6" i="10"/>
  <c r="BB6" i="10" s="1"/>
  <c r="M11" i="10"/>
  <c r="N11" i="10" s="1"/>
  <c r="AC5" i="10"/>
  <c r="AD5" i="10" s="1"/>
  <c r="BA13" i="10"/>
  <c r="BB13" i="10" s="1"/>
  <c r="AQ13" i="10"/>
  <c r="AR13" i="10" s="1"/>
  <c r="AI14" i="10"/>
  <c r="AJ14" i="10" s="1"/>
  <c r="AE13" i="10"/>
  <c r="AF13" i="10" s="1"/>
  <c r="AO10" i="10"/>
  <c r="AP10" i="10" s="1"/>
  <c r="AI10" i="10"/>
  <c r="AJ10" i="10" s="1"/>
  <c r="AK10" i="10"/>
  <c r="AL10" i="10" s="1"/>
  <c r="W11" i="10"/>
  <c r="X11" i="10" s="1"/>
  <c r="AU5" i="10"/>
  <c r="AV5" i="10" s="1"/>
  <c r="AU14" i="10"/>
  <c r="AV14" i="10" s="1"/>
  <c r="M14" i="10"/>
  <c r="N14" i="10" s="1"/>
  <c r="AY14" i="10"/>
  <c r="AZ14" i="10" s="1"/>
  <c r="W14" i="10"/>
  <c r="X14" i="10" s="1"/>
  <c r="S6" i="10"/>
  <c r="T6" i="10" s="1"/>
  <c r="G14" i="10"/>
  <c r="H14" i="10" s="1"/>
  <c r="AC14" i="10"/>
  <c r="AD14" i="10" s="1"/>
  <c r="AU13" i="10"/>
  <c r="AV13" i="10" s="1"/>
  <c r="AI13" i="10"/>
  <c r="AJ13" i="10" s="1"/>
  <c r="K10" i="10"/>
  <c r="L10" i="10" s="1"/>
  <c r="O10" i="10"/>
  <c r="P10" i="10" s="1"/>
  <c r="BA10" i="10"/>
  <c r="BB10" i="10" s="1"/>
  <c r="AI6" i="10"/>
  <c r="AJ6" i="10" s="1"/>
  <c r="Q6" i="10"/>
  <c r="R6" i="10" s="1"/>
  <c r="I5" i="10"/>
  <c r="J5" i="10" s="1"/>
  <c r="AW5" i="10"/>
  <c r="AX5" i="10" s="1"/>
  <c r="AG13" i="10"/>
  <c r="AH13" i="10" s="1"/>
  <c r="AY10" i="10"/>
  <c r="AZ10" i="10" s="1"/>
  <c r="AU10" i="10"/>
  <c r="AV10" i="10" s="1"/>
  <c r="AM11" i="10"/>
  <c r="AN11" i="10" s="1"/>
  <c r="AS5" i="10"/>
  <c r="AT5" i="10" s="1"/>
  <c r="AO5" i="10"/>
  <c r="AP5" i="10" s="1"/>
  <c r="AG5" i="10"/>
  <c r="AH5" i="10" s="1"/>
  <c r="K11" i="10"/>
  <c r="L11" i="10" s="1"/>
  <c r="AI11" i="10"/>
  <c r="AJ11" i="10" s="1"/>
  <c r="AK11" i="10"/>
  <c r="AL11" i="10" s="1"/>
  <c r="AG7" i="10"/>
  <c r="AH7" i="10" s="1"/>
  <c r="AO7" i="10"/>
  <c r="AP7" i="10" s="1"/>
  <c r="AE3" i="10"/>
  <c r="AF3" i="10" s="1"/>
  <c r="AQ7" i="10"/>
  <c r="AR7" i="10" s="1"/>
  <c r="AY7" i="10"/>
  <c r="AZ7" i="10" s="1"/>
  <c r="AA3" i="10"/>
  <c r="AB3" i="10" s="1"/>
  <c r="AU3" i="10"/>
  <c r="AV3" i="10" s="1"/>
  <c r="AM3" i="10"/>
  <c r="AN3" i="10" s="1"/>
  <c r="K3" i="10"/>
  <c r="L3" i="10" s="1"/>
  <c r="W3" i="10"/>
  <c r="X3" i="10" s="1"/>
  <c r="S7" i="10"/>
  <c r="T7" i="10" s="1"/>
  <c r="U7" i="10"/>
  <c r="V7" i="10" s="1"/>
  <c r="AY3" i="10"/>
  <c r="AZ3" i="10" s="1"/>
  <c r="Q3" i="10"/>
  <c r="R3" i="10" s="1"/>
  <c r="BC3" i="10"/>
  <c r="BD3" i="10" s="1"/>
  <c r="M7" i="10"/>
  <c r="N7" i="10" s="1"/>
  <c r="W7" i="10"/>
  <c r="X7" i="10" s="1"/>
  <c r="M3" i="10"/>
  <c r="N3" i="10" s="1"/>
  <c r="AG3" i="10"/>
  <c r="AH3" i="10" s="1"/>
  <c r="G7" i="10"/>
  <c r="H7" i="10" s="1"/>
  <c r="AU7" i="10"/>
  <c r="AV7" i="10" s="1"/>
  <c r="I3" i="10"/>
  <c r="J3" i="10" s="1"/>
  <c r="G3" i="10"/>
  <c r="H3" i="10" s="1"/>
  <c r="AU4" i="10"/>
  <c r="AV4" i="10" s="1"/>
  <c r="K8" i="10"/>
  <c r="L8" i="10" s="1"/>
  <c r="U13" i="10"/>
  <c r="V13" i="10" s="1"/>
  <c r="AA12" i="10"/>
  <c r="AB12" i="10" s="1"/>
  <c r="AU12" i="10"/>
  <c r="AV12" i="10" s="1"/>
  <c r="AY12" i="10"/>
  <c r="AZ12" i="10" s="1"/>
  <c r="AE11" i="10"/>
  <c r="AF11" i="10" s="1"/>
  <c r="G11" i="10"/>
  <c r="H11" i="10" s="1"/>
  <c r="S12" i="10"/>
  <c r="T12" i="10" s="1"/>
  <c r="AC12" i="10"/>
  <c r="AD12" i="10" s="1"/>
  <c r="AW12" i="10"/>
  <c r="AX12" i="10" s="1"/>
  <c r="AO11" i="10"/>
  <c r="AP11" i="10" s="1"/>
  <c r="AW11" i="10"/>
  <c r="AX11" i="10" s="1"/>
  <c r="H13" i="8"/>
  <c r="H6" i="8"/>
  <c r="H9" i="8"/>
  <c r="H4" i="8"/>
  <c r="H7" i="8"/>
  <c r="H12" i="8"/>
  <c r="H8" i="8"/>
  <c r="I9" i="8"/>
  <c r="I10" i="8"/>
  <c r="I8" i="8"/>
  <c r="H14" i="8"/>
  <c r="H10" i="8"/>
  <c r="I12" i="8"/>
  <c r="I6" i="8"/>
  <c r="H3" i="8"/>
  <c r="BA5" i="10"/>
  <c r="BB5" i="10" s="1"/>
  <c r="Y4" i="10"/>
  <c r="Z4" i="10" s="1"/>
  <c r="AQ6" i="10"/>
  <c r="AR6" i="10" s="1"/>
  <c r="O4" i="10"/>
  <c r="P4" i="10" s="1"/>
  <c r="U4" i="10"/>
  <c r="V4" i="10" s="1"/>
  <c r="AO8" i="10"/>
  <c r="AP8" i="10" s="1"/>
  <c r="O8" i="10"/>
  <c r="P8" i="10" s="1"/>
  <c r="AK8" i="10"/>
  <c r="AL8" i="10" s="1"/>
  <c r="I7" i="10"/>
  <c r="J7" i="10" s="1"/>
  <c r="AC7" i="10"/>
  <c r="AD7" i="10" s="1"/>
  <c r="AW7" i="10"/>
  <c r="AX7" i="10" s="1"/>
  <c r="AO4" i="10"/>
  <c r="AP4" i="10" s="1"/>
  <c r="G4" i="10"/>
  <c r="H4" i="10" s="1"/>
  <c r="AE4" i="10"/>
  <c r="AF4" i="10" s="1"/>
  <c r="AK4" i="10"/>
  <c r="AL4" i="10" s="1"/>
  <c r="AI8" i="10"/>
  <c r="AJ8" i="10" s="1"/>
  <c r="AE8" i="10"/>
  <c r="AF8" i="10" s="1"/>
  <c r="BA8" i="10"/>
  <c r="BB8" i="10" s="1"/>
  <c r="K13" i="10"/>
  <c r="L13" i="10" s="1"/>
  <c r="W13" i="10"/>
  <c r="X13" i="10" s="1"/>
  <c r="AA11" i="10"/>
  <c r="AB11" i="10" s="1"/>
  <c r="AU11" i="10"/>
  <c r="AV11" i="10" s="1"/>
  <c r="BA11" i="10"/>
  <c r="BB11" i="10" s="1"/>
  <c r="G5" i="10"/>
  <c r="H5" i="10" s="1"/>
  <c r="O5" i="10"/>
  <c r="P5" i="10" s="1"/>
  <c r="AK5" i="10"/>
  <c r="AL5" i="10" s="1"/>
  <c r="K7" i="10"/>
  <c r="L7" i="10" s="1"/>
  <c r="O7" i="10"/>
  <c r="P7" i="10" s="1"/>
  <c r="AK7" i="10"/>
  <c r="AL7" i="10" s="1"/>
  <c r="AQ3" i="10"/>
  <c r="AR3" i="10" s="1"/>
  <c r="AC4" i="10"/>
  <c r="AD4" i="10" s="1"/>
  <c r="AG4" i="10"/>
  <c r="AH4" i="10" s="1"/>
  <c r="W4" i="10"/>
  <c r="X4" i="10" s="1"/>
  <c r="AQ8" i="10"/>
  <c r="AR8" i="10" s="1"/>
  <c r="Q8" i="10"/>
  <c r="R8" i="10" s="1"/>
  <c r="AM8" i="10"/>
  <c r="AN8" i="10" s="1"/>
  <c r="O13" i="10"/>
  <c r="P13" i="10" s="1"/>
  <c r="I11" i="10"/>
  <c r="J11" i="10" s="1"/>
  <c r="AC11" i="10"/>
  <c r="AD11" i="10" s="1"/>
  <c r="Q11" i="10"/>
  <c r="R11" i="10" s="1"/>
  <c r="BC11" i="10"/>
  <c r="BD11" i="10" s="1"/>
  <c r="AQ5" i="10"/>
  <c r="AR5" i="10" s="1"/>
  <c r="S5" i="10"/>
  <c r="T5" i="10" s="1"/>
  <c r="AM5" i="10"/>
  <c r="AN5" i="10" s="1"/>
  <c r="AI3" i="10"/>
  <c r="AJ3" i="10" s="1"/>
  <c r="M4" i="10"/>
  <c r="N4" i="10" s="1"/>
  <c r="Q4" i="10"/>
  <c r="R4" i="10" s="1"/>
  <c r="AY4" i="10"/>
  <c r="AZ4" i="10" s="1"/>
  <c r="AA8" i="10"/>
  <c r="AB8" i="10" s="1"/>
  <c r="AY8" i="10"/>
  <c r="AZ8" i="10" s="1"/>
  <c r="W8" i="10"/>
  <c r="X8" i="10" s="1"/>
  <c r="AA7" i="10"/>
  <c r="AB7" i="10" s="1"/>
  <c r="AE7" i="10"/>
  <c r="AF7" i="10" s="1"/>
  <c r="K4" i="10"/>
  <c r="L4" i="10" s="1"/>
  <c r="AS4" i="10"/>
  <c r="AT4" i="10" s="1"/>
  <c r="AW4" i="10"/>
  <c r="AX4" i="10" s="1"/>
  <c r="AM4" i="10"/>
  <c r="AN4" i="10" s="1"/>
  <c r="S8" i="10"/>
  <c r="T8" i="10" s="1"/>
  <c r="M8" i="10"/>
  <c r="N8" i="10" s="1"/>
  <c r="AG8" i="10"/>
  <c r="AH8" i="10" s="1"/>
  <c r="BC8" i="10"/>
  <c r="BD8" i="10" s="1"/>
  <c r="Q13" i="10"/>
  <c r="R13" i="10" s="1"/>
  <c r="Y11" i="10"/>
  <c r="Z11" i="10" s="1"/>
  <c r="AS11" i="10"/>
  <c r="AT11" i="10" s="1"/>
  <c r="AG11" i="10"/>
  <c r="AH11" i="10" s="1"/>
  <c r="AI5" i="10"/>
  <c r="AJ5" i="10" s="1"/>
  <c r="AY5" i="10"/>
  <c r="AZ5" i="10" s="1"/>
  <c r="Q5" i="10"/>
  <c r="R5" i="10" s="1"/>
  <c r="AO3" i="10"/>
  <c r="AP3" i="10" s="1"/>
  <c r="AA4" i="10"/>
  <c r="AB4" i="10" s="1"/>
  <c r="AS6" i="10"/>
  <c r="AT6" i="10" s="1"/>
  <c r="AI4" i="10"/>
  <c r="AJ4" i="10" s="1"/>
  <c r="BC4" i="10"/>
  <c r="BD4" i="10" s="1"/>
  <c r="I8" i="10"/>
  <c r="J8" i="10" s="1"/>
  <c r="AC8" i="10"/>
  <c r="AD8" i="10" s="1"/>
  <c r="AW8" i="10"/>
  <c r="AX8" i="10" s="1"/>
  <c r="I4" i="10"/>
  <c r="J4" i="10" s="1"/>
  <c r="AQ4" i="10"/>
  <c r="AR4" i="10" s="1"/>
  <c r="S4" i="10"/>
  <c r="T4" i="10" s="1"/>
  <c r="Y8" i="10"/>
  <c r="Z8" i="10" s="1"/>
  <c r="AS8" i="10"/>
  <c r="AT8" i="10" s="1"/>
  <c r="I13" i="10"/>
  <c r="J13" i="10" s="1"/>
  <c r="AY11" i="10"/>
  <c r="AZ11" i="10" s="1"/>
  <c r="O11" i="10"/>
  <c r="P11" i="10" s="1"/>
  <c r="C6" i="16" l="1"/>
  <c r="B6" i="16"/>
  <c r="C46" i="10"/>
  <c r="C37" i="10"/>
  <c r="C40" i="10"/>
  <c r="D3" i="16"/>
  <c r="E3" i="16" s="1"/>
  <c r="C38" i="10"/>
  <c r="C41" i="10"/>
  <c r="D8" i="16"/>
  <c r="E8" i="16" s="1"/>
  <c r="D16" i="16"/>
  <c r="E16" i="16" s="1"/>
  <c r="Q15" i="10"/>
  <c r="R15" i="10" s="1"/>
  <c r="AU15" i="10"/>
  <c r="AV15" i="10" s="1"/>
  <c r="AI15" i="10"/>
  <c r="AJ15" i="10" s="1"/>
  <c r="AA15" i="10"/>
  <c r="AB15" i="10" s="1"/>
  <c r="AG15" i="10"/>
  <c r="AH15" i="10" s="1"/>
  <c r="U15" i="10"/>
  <c r="V15" i="10" s="1"/>
  <c r="W15" i="10"/>
  <c r="X15" i="10" s="1"/>
  <c r="I15" i="10"/>
  <c r="J15" i="10" s="1"/>
  <c r="F31" i="10"/>
  <c r="J16" i="8"/>
  <c r="D16" i="10"/>
  <c r="K16" i="8"/>
  <c r="AK15" i="10"/>
  <c r="AL15" i="10" s="1"/>
  <c r="M15" i="10"/>
  <c r="N15" i="10" s="1"/>
  <c r="AY15" i="10"/>
  <c r="AZ15" i="10" s="1"/>
  <c r="C16" i="10"/>
  <c r="Y15" i="10"/>
  <c r="Z15" i="10" s="1"/>
  <c r="AQ15" i="10"/>
  <c r="AR15" i="10" s="1"/>
  <c r="S15" i="10"/>
  <c r="T15" i="10" s="1"/>
  <c r="O15" i="10"/>
  <c r="P15" i="10" s="1"/>
  <c r="K15" i="10"/>
  <c r="L15" i="10" s="1"/>
  <c r="AW15" i="10"/>
  <c r="AX15" i="10" s="1"/>
  <c r="I15" i="8"/>
  <c r="BA15" i="10"/>
  <c r="BB15" i="10" s="1"/>
  <c r="AM15" i="10"/>
  <c r="AN15" i="10" s="1"/>
  <c r="D35" i="10"/>
  <c r="H15" i="8"/>
  <c r="BC15" i="10"/>
  <c r="BD15" i="10" s="1"/>
  <c r="AO15" i="10"/>
  <c r="AP15" i="10" s="1"/>
  <c r="AC15" i="10"/>
  <c r="AD15" i="10" s="1"/>
  <c r="AS15" i="10"/>
  <c r="AT15" i="10" s="1"/>
  <c r="AE15" i="10"/>
  <c r="AF15" i="10" s="1"/>
  <c r="C36" i="10"/>
  <c r="C35" i="10"/>
  <c r="C42" i="10"/>
  <c r="C39" i="10"/>
  <c r="D6" i="16" l="1"/>
  <c r="E6" i="16" s="1"/>
  <c r="C17" i="10"/>
  <c r="D47" i="10"/>
  <c r="F15" i="10" s="1"/>
  <c r="B4" i="9"/>
  <c r="I16" i="8"/>
  <c r="C4" i="9"/>
  <c r="H16" i="8"/>
  <c r="D17" i="10"/>
  <c r="J17" i="8"/>
  <c r="B10" i="16" s="1"/>
  <c r="K17" i="8"/>
  <c r="C10" i="16" s="1"/>
  <c r="M16" i="10"/>
  <c r="N16" i="10" s="1"/>
  <c r="W16" i="10"/>
  <c r="X16" i="10" s="1"/>
  <c r="AG16" i="10"/>
  <c r="AH16" i="10" s="1"/>
  <c r="AS16" i="10"/>
  <c r="AT16" i="10" s="1"/>
  <c r="BC16" i="10"/>
  <c r="BD16" i="10" s="1"/>
  <c r="AI16" i="10"/>
  <c r="AJ16" i="10" s="1"/>
  <c r="O16" i="10"/>
  <c r="P16" i="10" s="1"/>
  <c r="Y16" i="10"/>
  <c r="Z16" i="10" s="1"/>
  <c r="AK16" i="10"/>
  <c r="AL16" i="10" s="1"/>
  <c r="AU16" i="10"/>
  <c r="AV16" i="10" s="1"/>
  <c r="AA16" i="10"/>
  <c r="AB16" i="10" s="1"/>
  <c r="Q16" i="10"/>
  <c r="R16" i="10" s="1"/>
  <c r="AC16" i="10"/>
  <c r="AD16" i="10" s="1"/>
  <c r="AM16" i="10"/>
  <c r="AN16" i="10" s="1"/>
  <c r="AW16" i="10"/>
  <c r="AX16" i="10" s="1"/>
  <c r="S16" i="10"/>
  <c r="T16" i="10" s="1"/>
  <c r="AY16" i="10"/>
  <c r="AZ16" i="10" s="1"/>
  <c r="I16" i="10"/>
  <c r="J16" i="10" s="1"/>
  <c r="U16" i="10"/>
  <c r="V16" i="10" s="1"/>
  <c r="AE16" i="10"/>
  <c r="AF16" i="10" s="1"/>
  <c r="AO16" i="10"/>
  <c r="AP16" i="10" s="1"/>
  <c r="BA16" i="10"/>
  <c r="BB16" i="10" s="1"/>
  <c r="K16" i="10"/>
  <c r="L16" i="10" s="1"/>
  <c r="AQ16" i="10"/>
  <c r="AR16" i="10" s="1"/>
  <c r="L15" i="8"/>
  <c r="M15" i="8" s="1"/>
  <c r="C47" i="10"/>
  <c r="D39" i="10"/>
  <c r="D42" i="10"/>
  <c r="D46" i="10"/>
  <c r="D40" i="10"/>
  <c r="D41" i="10"/>
  <c r="D37" i="10"/>
  <c r="D45" i="10"/>
  <c r="D43" i="10"/>
  <c r="D44" i="10"/>
  <c r="F3" i="10"/>
  <c r="E6" i="10"/>
  <c r="E11" i="10"/>
  <c r="E14" i="10"/>
  <c r="E12" i="10"/>
  <c r="E8" i="10"/>
  <c r="E9" i="10"/>
  <c r="E4" i="10"/>
  <c r="E5" i="10"/>
  <c r="E13" i="10"/>
  <c r="L3" i="8"/>
  <c r="M3" i="8" s="1"/>
  <c r="L7" i="8"/>
  <c r="M7" i="8" s="1"/>
  <c r="L10" i="8"/>
  <c r="M10" i="8" s="1"/>
  <c r="AM17" i="10" l="1"/>
  <c r="AN17" i="10" s="1"/>
  <c r="D10" i="16"/>
  <c r="E10" i="16" s="1"/>
  <c r="D4" i="9"/>
  <c r="E4" i="9" s="1"/>
  <c r="BC17" i="10"/>
  <c r="BD17" i="10" s="1"/>
  <c r="AO17" i="10"/>
  <c r="AP17" i="10" s="1"/>
  <c r="AC17" i="10"/>
  <c r="AD17" i="10" s="1"/>
  <c r="I17" i="8"/>
  <c r="AS17" i="10"/>
  <c r="AT17" i="10" s="1"/>
  <c r="AE17" i="10"/>
  <c r="AF17" i="10" s="1"/>
  <c r="Q17" i="10"/>
  <c r="R17" i="10" s="1"/>
  <c r="C18" i="10"/>
  <c r="H17" i="8"/>
  <c r="AA17" i="10"/>
  <c r="AB17" i="10" s="1"/>
  <c r="AG17" i="10"/>
  <c r="AH17" i="10" s="1"/>
  <c r="U17" i="10"/>
  <c r="V17" i="10" s="1"/>
  <c r="AU17" i="10"/>
  <c r="AV17" i="10" s="1"/>
  <c r="W17" i="10"/>
  <c r="X17" i="10" s="1"/>
  <c r="I17" i="10"/>
  <c r="J17" i="10" s="1"/>
  <c r="D18" i="10"/>
  <c r="J18" i="8"/>
  <c r="K18" i="8"/>
  <c r="AK17" i="10"/>
  <c r="AL17" i="10" s="1"/>
  <c r="M17" i="10"/>
  <c r="N17" i="10" s="1"/>
  <c r="AY17" i="10"/>
  <c r="AZ17" i="10" s="1"/>
  <c r="Y17" i="10"/>
  <c r="Z17" i="10" s="1"/>
  <c r="AQ17" i="10"/>
  <c r="AR17" i="10" s="1"/>
  <c r="S17" i="10"/>
  <c r="T17" i="10" s="1"/>
  <c r="C48" i="10"/>
  <c r="O17" i="10"/>
  <c r="P17" i="10" s="1"/>
  <c r="K17" i="10"/>
  <c r="L17" i="10" s="1"/>
  <c r="AW17" i="10"/>
  <c r="AX17" i="10" s="1"/>
  <c r="G47" i="10"/>
  <c r="H47" i="10" s="1"/>
  <c r="Y47" i="10"/>
  <c r="Z47" i="10" s="1"/>
  <c r="AC47" i="10"/>
  <c r="AD47" i="10" s="1"/>
  <c r="AG47" i="10"/>
  <c r="AH47" i="10" s="1"/>
  <c r="E15" i="10"/>
  <c r="AK47" i="10"/>
  <c r="AL47" i="10" s="1"/>
  <c r="I47" i="10"/>
  <c r="J47" i="10" s="1"/>
  <c r="AO47" i="10"/>
  <c r="AP47" i="10" s="1"/>
  <c r="M47" i="10"/>
  <c r="N47" i="10" s="1"/>
  <c r="AS47" i="10"/>
  <c r="AT47" i="10" s="1"/>
  <c r="Q47" i="10"/>
  <c r="R47" i="10" s="1"/>
  <c r="AW47" i="10"/>
  <c r="AX47" i="10" s="1"/>
  <c r="U47" i="10"/>
  <c r="V47" i="10" s="1"/>
  <c r="BA47" i="10"/>
  <c r="BB47" i="10" s="1"/>
  <c r="AY47" i="10"/>
  <c r="AZ47" i="10" s="1"/>
  <c r="AM47" i="10"/>
  <c r="AN47" i="10" s="1"/>
  <c r="AQ47" i="10"/>
  <c r="AR47" i="10" s="1"/>
  <c r="AE47" i="10"/>
  <c r="AF47" i="10" s="1"/>
  <c r="AI47" i="10"/>
  <c r="AJ47" i="10" s="1"/>
  <c r="W47" i="10"/>
  <c r="X47" i="10" s="1"/>
  <c r="AA47" i="10"/>
  <c r="AB47" i="10" s="1"/>
  <c r="O47" i="10"/>
  <c r="P47" i="10" s="1"/>
  <c r="AU47" i="10"/>
  <c r="AV47" i="10" s="1"/>
  <c r="S47" i="10"/>
  <c r="T47" i="10" s="1"/>
  <c r="K47" i="10"/>
  <c r="L47" i="10" s="1"/>
  <c r="BC47" i="10"/>
  <c r="BD47" i="10" s="1"/>
  <c r="L16" i="8"/>
  <c r="M16" i="8" s="1"/>
  <c r="D48" i="10"/>
  <c r="AI17" i="10"/>
  <c r="AJ17" i="10" s="1"/>
  <c r="BA17" i="10"/>
  <c r="BB17" i="10" s="1"/>
  <c r="C19" i="10"/>
  <c r="D36" i="10"/>
  <c r="U36" i="10" s="1"/>
  <c r="V36" i="10" s="1"/>
  <c r="D38" i="10"/>
  <c r="M38" i="10" s="1"/>
  <c r="N38" i="10" s="1"/>
  <c r="L9" i="8"/>
  <c r="M9" i="8" s="1"/>
  <c r="L11" i="8"/>
  <c r="M11" i="8" s="1"/>
  <c r="L12" i="8"/>
  <c r="M12" i="8" s="1"/>
  <c r="L13" i="8"/>
  <c r="M13" i="8" s="1"/>
  <c r="L4" i="8"/>
  <c r="M4" i="8" s="1"/>
  <c r="L14" i="8"/>
  <c r="M14" i="8" s="1"/>
  <c r="L8" i="8"/>
  <c r="M8" i="8" s="1"/>
  <c r="L6" i="8"/>
  <c r="M6" i="8" s="1"/>
  <c r="L5" i="8"/>
  <c r="M5" i="8" s="1"/>
  <c r="F9" i="10"/>
  <c r="AS41" i="10"/>
  <c r="AT41" i="10" s="1"/>
  <c r="BA41" i="10"/>
  <c r="BB41" i="10" s="1"/>
  <c r="AG41" i="10"/>
  <c r="AH41" i="10" s="1"/>
  <c r="AE41" i="10"/>
  <c r="AF41" i="10" s="1"/>
  <c r="AC41" i="10"/>
  <c r="AD41" i="10" s="1"/>
  <c r="AY41" i="10"/>
  <c r="AZ41" i="10" s="1"/>
  <c r="W41" i="10"/>
  <c r="X41" i="10" s="1"/>
  <c r="K41" i="10"/>
  <c r="L41" i="10" s="1"/>
  <c r="AW41" i="10"/>
  <c r="AX41" i="10" s="1"/>
  <c r="AI41" i="10"/>
  <c r="AJ41" i="10" s="1"/>
  <c r="AU41" i="10"/>
  <c r="AV41" i="10" s="1"/>
  <c r="O41" i="10"/>
  <c r="P41" i="10" s="1"/>
  <c r="AK41" i="10"/>
  <c r="AL41" i="10" s="1"/>
  <c r="AA41" i="10"/>
  <c r="AB41" i="10" s="1"/>
  <c r="S41" i="10"/>
  <c r="T41" i="10" s="1"/>
  <c r="AQ41" i="10"/>
  <c r="AR41" i="10" s="1"/>
  <c r="M41" i="10"/>
  <c r="N41" i="10" s="1"/>
  <c r="AO41" i="10"/>
  <c r="AP41" i="10" s="1"/>
  <c r="Q41" i="10"/>
  <c r="R41" i="10" s="1"/>
  <c r="F13" i="10"/>
  <c r="Q45" i="10"/>
  <c r="R45" i="10" s="1"/>
  <c r="M45" i="10"/>
  <c r="N45" i="10" s="1"/>
  <c r="S45" i="10"/>
  <c r="T45" i="10" s="1"/>
  <c r="G45" i="10"/>
  <c r="H45" i="10" s="1"/>
  <c r="BC45" i="10"/>
  <c r="BD45" i="10" s="1"/>
  <c r="AG45" i="10"/>
  <c r="AH45" i="10" s="1"/>
  <c r="O45" i="10"/>
  <c r="P45" i="10" s="1"/>
  <c r="I45" i="10"/>
  <c r="J45" i="10" s="1"/>
  <c r="Y45" i="10"/>
  <c r="Z45" i="10" s="1"/>
  <c r="K45" i="10"/>
  <c r="L45" i="10" s="1"/>
  <c r="BA45" i="10"/>
  <c r="BB45" i="10" s="1"/>
  <c r="F8" i="10"/>
  <c r="G40" i="10"/>
  <c r="H40" i="10" s="1"/>
  <c r="W40" i="10"/>
  <c r="X40" i="10" s="1"/>
  <c r="Q40" i="10"/>
  <c r="R40" i="10" s="1"/>
  <c r="BC40" i="10"/>
  <c r="BD40" i="10" s="1"/>
  <c r="AS40" i="10"/>
  <c r="AT40" i="10" s="1"/>
  <c r="AA40" i="10"/>
  <c r="AB40" i="10" s="1"/>
  <c r="AE40" i="10"/>
  <c r="AF40" i="10" s="1"/>
  <c r="AW40" i="10"/>
  <c r="AX40" i="10" s="1"/>
  <c r="AC40" i="10"/>
  <c r="AD40" i="10" s="1"/>
  <c r="U40" i="10"/>
  <c r="V40" i="10" s="1"/>
  <c r="K40" i="10"/>
  <c r="L40" i="10" s="1"/>
  <c r="I40" i="10"/>
  <c r="J40" i="10" s="1"/>
  <c r="AM40" i="10"/>
  <c r="AN40" i="10" s="1"/>
  <c r="AO40" i="10"/>
  <c r="AP40" i="10" s="1"/>
  <c r="AG40" i="10"/>
  <c r="AH40" i="10" s="1"/>
  <c r="M40" i="10"/>
  <c r="N40" i="10" s="1"/>
  <c r="BA40" i="10"/>
  <c r="BB40" i="10" s="1"/>
  <c r="AQ40" i="10"/>
  <c r="AR40" i="10" s="1"/>
  <c r="AK40" i="10"/>
  <c r="AL40" i="10" s="1"/>
  <c r="Y40" i="10"/>
  <c r="Z40" i="10" s="1"/>
  <c r="O40" i="10"/>
  <c r="P40" i="10" s="1"/>
  <c r="S40" i="10"/>
  <c r="T40" i="10" s="1"/>
  <c r="AI40" i="10"/>
  <c r="AJ40" i="10" s="1"/>
  <c r="AY40" i="10"/>
  <c r="AZ40" i="10" s="1"/>
  <c r="AU40" i="10"/>
  <c r="AV40" i="10" s="1"/>
  <c r="AG43" i="10"/>
  <c r="AH43" i="10" s="1"/>
  <c r="O43" i="10"/>
  <c r="P43" i="10" s="1"/>
  <c r="AU43" i="10"/>
  <c r="AV43" i="10" s="1"/>
  <c r="S43" i="10"/>
  <c r="T43" i="10" s="1"/>
  <c r="AS43" i="10"/>
  <c r="AT43" i="10" s="1"/>
  <c r="Y43" i="10"/>
  <c r="Z43" i="10" s="1"/>
  <c r="U43" i="10"/>
  <c r="V43" i="10" s="1"/>
  <c r="AI43" i="10"/>
  <c r="AJ43" i="10" s="1"/>
  <c r="M43" i="10"/>
  <c r="N43" i="10" s="1"/>
  <c r="BA43" i="10"/>
  <c r="BB43" i="10" s="1"/>
  <c r="BC43" i="10"/>
  <c r="BD43" i="10" s="1"/>
  <c r="Q43" i="10"/>
  <c r="R43" i="10" s="1"/>
  <c r="W43" i="10"/>
  <c r="X43" i="10" s="1"/>
  <c r="AA43" i="10"/>
  <c r="AB43" i="10" s="1"/>
  <c r="AC43" i="10"/>
  <c r="AD43" i="10" s="1"/>
  <c r="K43" i="10"/>
  <c r="L43" i="10" s="1"/>
  <c r="AK43" i="10"/>
  <c r="AL43" i="10" s="1"/>
  <c r="AQ43" i="10"/>
  <c r="AR43" i="10" s="1"/>
  <c r="AE43" i="10"/>
  <c r="AF43" i="10" s="1"/>
  <c r="AY43" i="10"/>
  <c r="AZ43" i="10" s="1"/>
  <c r="I43" i="10"/>
  <c r="J43" i="10" s="1"/>
  <c r="AO43" i="10"/>
  <c r="AP43" i="10" s="1"/>
  <c r="AM43" i="10"/>
  <c r="AN43" i="10" s="1"/>
  <c r="G43" i="10"/>
  <c r="H43" i="10" s="1"/>
  <c r="AW43" i="10"/>
  <c r="AX43" i="10" s="1"/>
  <c r="F11" i="10"/>
  <c r="F5" i="10"/>
  <c r="AO37" i="10"/>
  <c r="AP37" i="10" s="1"/>
  <c r="AI37" i="10"/>
  <c r="AJ37" i="10" s="1"/>
  <c r="BA37" i="10"/>
  <c r="BB37" i="10" s="1"/>
  <c r="U37" i="10"/>
  <c r="V37" i="10" s="1"/>
  <c r="AK37" i="10"/>
  <c r="AL37" i="10" s="1"/>
  <c r="AE37" i="10"/>
  <c r="AF37" i="10" s="1"/>
  <c r="AA37" i="10"/>
  <c r="AB37" i="10" s="1"/>
  <c r="AG37" i="10"/>
  <c r="AH37" i="10" s="1"/>
  <c r="M37" i="10"/>
  <c r="N37" i="10" s="1"/>
  <c r="AC37" i="10"/>
  <c r="AD37" i="10" s="1"/>
  <c r="AM37" i="10"/>
  <c r="AN37" i="10" s="1"/>
  <c r="K37" i="10"/>
  <c r="L37" i="10" s="1"/>
  <c r="W37" i="10"/>
  <c r="X37" i="10" s="1"/>
  <c r="AQ37" i="10"/>
  <c r="AR37" i="10" s="1"/>
  <c r="Y37" i="10"/>
  <c r="Z37" i="10" s="1"/>
  <c r="I37" i="10"/>
  <c r="J37" i="10" s="1"/>
  <c r="G37" i="10"/>
  <c r="H37" i="10" s="1"/>
  <c r="AS37" i="10"/>
  <c r="AT37" i="10" s="1"/>
  <c r="AY37" i="10"/>
  <c r="AZ37" i="10" s="1"/>
  <c r="Q37" i="10"/>
  <c r="R37" i="10" s="1"/>
  <c r="S37" i="10"/>
  <c r="T37" i="10" s="1"/>
  <c r="BC37" i="10"/>
  <c r="BD37" i="10" s="1"/>
  <c r="AW37" i="10"/>
  <c r="AX37" i="10" s="1"/>
  <c r="AU37" i="10"/>
  <c r="AV37" i="10" s="1"/>
  <c r="O37" i="10"/>
  <c r="P37" i="10" s="1"/>
  <c r="F12" i="10"/>
  <c r="AE44" i="10"/>
  <c r="AF44" i="10" s="1"/>
  <c r="AK44" i="10"/>
  <c r="AL44" i="10" s="1"/>
  <c r="O44" i="10"/>
  <c r="P44" i="10" s="1"/>
  <c r="W44" i="10"/>
  <c r="X44" i="10" s="1"/>
  <c r="AU44" i="10"/>
  <c r="AV44" i="10" s="1"/>
  <c r="Q44" i="10"/>
  <c r="R44" i="10" s="1"/>
  <c r="AM44" i="10"/>
  <c r="AN44" i="10" s="1"/>
  <c r="K44" i="10"/>
  <c r="L44" i="10" s="1"/>
  <c r="Y44" i="10"/>
  <c r="Z44" i="10" s="1"/>
  <c r="AS44" i="10"/>
  <c r="AT44" i="10" s="1"/>
  <c r="AC44" i="10"/>
  <c r="AD44" i="10" s="1"/>
  <c r="AA44" i="10"/>
  <c r="AB44" i="10" s="1"/>
  <c r="BA44" i="10"/>
  <c r="BB44" i="10" s="1"/>
  <c r="AG44" i="10"/>
  <c r="AH44" i="10" s="1"/>
  <c r="AY44" i="10"/>
  <c r="AZ44" i="10" s="1"/>
  <c r="AW44" i="10"/>
  <c r="AX44" i="10" s="1"/>
  <c r="AI44" i="10"/>
  <c r="AJ44" i="10" s="1"/>
  <c r="AO44" i="10"/>
  <c r="AP44" i="10" s="1"/>
  <c r="U44" i="10"/>
  <c r="V44" i="10" s="1"/>
  <c r="AQ44" i="10"/>
  <c r="AR44" i="10" s="1"/>
  <c r="BC44" i="10"/>
  <c r="BD44" i="10" s="1"/>
  <c r="S44" i="10"/>
  <c r="T44" i="10" s="1"/>
  <c r="I44" i="10"/>
  <c r="J44" i="10" s="1"/>
  <c r="M44" i="10"/>
  <c r="N44" i="10" s="1"/>
  <c r="G44" i="10"/>
  <c r="H44" i="10" s="1"/>
  <c r="I41" i="10"/>
  <c r="J41" i="10" s="1"/>
  <c r="U41" i="10"/>
  <c r="V41" i="10" s="1"/>
  <c r="BC41" i="10"/>
  <c r="BD41" i="10" s="1"/>
  <c r="W45" i="10"/>
  <c r="X45" i="10" s="1"/>
  <c r="U45" i="10"/>
  <c r="V45" i="10" s="1"/>
  <c r="AM41" i="10"/>
  <c r="AN41" i="10" s="1"/>
  <c r="Y41" i="10"/>
  <c r="Z41" i="10" s="1"/>
  <c r="G41" i="10"/>
  <c r="H41" i="10" s="1"/>
  <c r="Q35" i="10"/>
  <c r="R35" i="10" s="1"/>
  <c r="BA35" i="10"/>
  <c r="BB35" i="10" s="1"/>
  <c r="AC35" i="10"/>
  <c r="AD35" i="10" s="1"/>
  <c r="M35" i="10"/>
  <c r="N35" i="10" s="1"/>
  <c r="S35" i="10"/>
  <c r="T35" i="10" s="1"/>
  <c r="AE35" i="10"/>
  <c r="AF35" i="10" s="1"/>
  <c r="O35" i="10"/>
  <c r="P35" i="10" s="1"/>
  <c r="I35" i="10"/>
  <c r="J35" i="10" s="1"/>
  <c r="AW35" i="10"/>
  <c r="AX35" i="10" s="1"/>
  <c r="BC35" i="10"/>
  <c r="BD35" i="10" s="1"/>
  <c r="AM35" i="10"/>
  <c r="AN35" i="10" s="1"/>
  <c r="U35" i="10"/>
  <c r="V35" i="10" s="1"/>
  <c r="AG35" i="10"/>
  <c r="AH35" i="10" s="1"/>
  <c r="E3" i="10"/>
  <c r="G35" i="10"/>
  <c r="H35" i="10" s="1"/>
  <c r="S38" i="10"/>
  <c r="T38" i="10" s="1"/>
  <c r="AA35" i="10"/>
  <c r="AB35" i="10" s="1"/>
  <c r="W35" i="10"/>
  <c r="X35" i="10" s="1"/>
  <c r="Y35" i="10"/>
  <c r="Z35" i="10" s="1"/>
  <c r="AU35" i="10"/>
  <c r="AV35" i="10" s="1"/>
  <c r="AY35" i="10"/>
  <c r="AZ35" i="10" s="1"/>
  <c r="K35" i="10"/>
  <c r="L35" i="10" s="1"/>
  <c r="E10" i="10"/>
  <c r="AA42" i="10"/>
  <c r="AB42" i="10" s="1"/>
  <c r="AE42" i="10"/>
  <c r="AF42" i="10" s="1"/>
  <c r="Y42" i="10"/>
  <c r="Z42" i="10" s="1"/>
  <c r="AW42" i="10"/>
  <c r="AX42" i="10" s="1"/>
  <c r="W42" i="10"/>
  <c r="X42" i="10" s="1"/>
  <c r="AY42" i="10"/>
  <c r="AZ42" i="10" s="1"/>
  <c r="AS42" i="10"/>
  <c r="AT42" i="10" s="1"/>
  <c r="S42" i="10"/>
  <c r="T42" i="10" s="1"/>
  <c r="AQ42" i="10"/>
  <c r="AR42" i="10" s="1"/>
  <c r="M42" i="10"/>
  <c r="N42" i="10" s="1"/>
  <c r="AO42" i="10"/>
  <c r="AP42" i="10" s="1"/>
  <c r="I42" i="10"/>
  <c r="J42" i="10" s="1"/>
  <c r="AM42" i="10"/>
  <c r="AN42" i="10" s="1"/>
  <c r="G42" i="10"/>
  <c r="H42" i="10" s="1"/>
  <c r="Q42" i="10"/>
  <c r="R42" i="10" s="1"/>
  <c r="O42" i="10"/>
  <c r="P42" i="10" s="1"/>
  <c r="AK42" i="10"/>
  <c r="AL42" i="10" s="1"/>
  <c r="K42" i="10"/>
  <c r="L42" i="10" s="1"/>
  <c r="AU42" i="10"/>
  <c r="AV42" i="10" s="1"/>
  <c r="AC42" i="10"/>
  <c r="AD42" i="10" s="1"/>
  <c r="AG42" i="10"/>
  <c r="AH42" i="10" s="1"/>
  <c r="U42" i="10"/>
  <c r="V42" i="10" s="1"/>
  <c r="BA42" i="10"/>
  <c r="BB42" i="10" s="1"/>
  <c r="AI42" i="10"/>
  <c r="AJ42" i="10" s="1"/>
  <c r="AE39" i="10"/>
  <c r="AF39" i="10" s="1"/>
  <c r="AA39" i="10"/>
  <c r="AB39" i="10" s="1"/>
  <c r="E7" i="10"/>
  <c r="Q39" i="10"/>
  <c r="R39" i="10" s="1"/>
  <c r="BC39" i="10"/>
  <c r="BD39" i="10" s="1"/>
  <c r="K39" i="10"/>
  <c r="L39" i="10" s="1"/>
  <c r="BA39" i="10"/>
  <c r="BB39" i="10" s="1"/>
  <c r="I39" i="10"/>
  <c r="J39" i="10" s="1"/>
  <c r="AQ39" i="10"/>
  <c r="AR39" i="10" s="1"/>
  <c r="AG39" i="10"/>
  <c r="AH39" i="10" s="1"/>
  <c r="AM39" i="10"/>
  <c r="AN39" i="10" s="1"/>
  <c r="AW39" i="10"/>
  <c r="AX39" i="10" s="1"/>
  <c r="Y39" i="10"/>
  <c r="Z39" i="10" s="1"/>
  <c r="AK39" i="10"/>
  <c r="AL39" i="10" s="1"/>
  <c r="M39" i="10"/>
  <c r="N39" i="10" s="1"/>
  <c r="G39" i="10"/>
  <c r="H39" i="10" s="1"/>
  <c r="AC39" i="10"/>
  <c r="AD39" i="10" s="1"/>
  <c r="U39" i="10"/>
  <c r="V39" i="10" s="1"/>
  <c r="O39" i="10"/>
  <c r="P39" i="10" s="1"/>
  <c r="AO39" i="10"/>
  <c r="AP39" i="10" s="1"/>
  <c r="AY39" i="10"/>
  <c r="AZ39" i="10" s="1"/>
  <c r="AS39" i="10"/>
  <c r="AT39" i="10" s="1"/>
  <c r="AI39" i="10"/>
  <c r="AJ39" i="10" s="1"/>
  <c r="W39" i="10"/>
  <c r="X39" i="10" s="1"/>
  <c r="S39" i="10"/>
  <c r="T39" i="10" s="1"/>
  <c r="BC42" i="10"/>
  <c r="BD42" i="10" s="1"/>
  <c r="F10" i="10"/>
  <c r="AU39" i="10"/>
  <c r="AV39" i="10" s="1"/>
  <c r="F7" i="10"/>
  <c r="C50" i="10" l="1"/>
  <c r="H18" i="8"/>
  <c r="I48" i="10"/>
  <c r="J48" i="10" s="1"/>
  <c r="F16" i="10"/>
  <c r="D19" i="10"/>
  <c r="S19" i="10" s="1"/>
  <c r="T19" i="10" s="1"/>
  <c r="J19" i="8"/>
  <c r="B4" i="16" s="1"/>
  <c r="K19" i="8"/>
  <c r="C4" i="16" s="1"/>
  <c r="K48" i="10"/>
  <c r="L48" i="10" s="1"/>
  <c r="AG48" i="10"/>
  <c r="AH48" i="10" s="1"/>
  <c r="E16" i="10"/>
  <c r="AM48" i="10"/>
  <c r="AN48" i="10" s="1"/>
  <c r="AO48" i="10"/>
  <c r="AP48" i="10" s="1"/>
  <c r="G48" i="10"/>
  <c r="H48" i="10" s="1"/>
  <c r="AU48" i="10"/>
  <c r="AV48" i="10" s="1"/>
  <c r="O48" i="10"/>
  <c r="P48" i="10" s="1"/>
  <c r="AW48" i="10"/>
  <c r="AX48" i="10" s="1"/>
  <c r="W48" i="10"/>
  <c r="X48" i="10" s="1"/>
  <c r="BC48" i="10"/>
  <c r="BD48" i="10" s="1"/>
  <c r="Y48" i="10"/>
  <c r="Z48" i="10" s="1"/>
  <c r="AE48" i="10"/>
  <c r="AF48" i="10" s="1"/>
  <c r="M48" i="10"/>
  <c r="N48" i="10" s="1"/>
  <c r="AA48" i="10"/>
  <c r="AB48" i="10" s="1"/>
  <c r="U48" i="10"/>
  <c r="V48" i="10" s="1"/>
  <c r="S48" i="10"/>
  <c r="T48" i="10" s="1"/>
  <c r="BA48" i="10"/>
  <c r="BB48" i="10" s="1"/>
  <c r="Q48" i="10"/>
  <c r="R48" i="10" s="1"/>
  <c r="AI48" i="10"/>
  <c r="AJ48" i="10" s="1"/>
  <c r="AS48" i="10"/>
  <c r="AT48" i="10" s="1"/>
  <c r="AK48" i="10"/>
  <c r="AL48" i="10" s="1"/>
  <c r="AY48" i="10"/>
  <c r="AZ48" i="10" s="1"/>
  <c r="AC48" i="10"/>
  <c r="AD48" i="10" s="1"/>
  <c r="AQ48" i="10"/>
  <c r="AR48" i="10" s="1"/>
  <c r="C49" i="10"/>
  <c r="L17" i="8"/>
  <c r="M17" i="8" s="1"/>
  <c r="D49" i="10"/>
  <c r="F17" i="10" s="1"/>
  <c r="M18" i="10"/>
  <c r="N18" i="10" s="1"/>
  <c r="W18" i="10"/>
  <c r="X18" i="10" s="1"/>
  <c r="AG18" i="10"/>
  <c r="AH18" i="10" s="1"/>
  <c r="AS18" i="10"/>
  <c r="AT18" i="10" s="1"/>
  <c r="BC18" i="10"/>
  <c r="BD18" i="10" s="1"/>
  <c r="AI18" i="10"/>
  <c r="AJ18" i="10" s="1"/>
  <c r="O18" i="10"/>
  <c r="P18" i="10" s="1"/>
  <c r="Y18" i="10"/>
  <c r="Z18" i="10" s="1"/>
  <c r="AK18" i="10"/>
  <c r="AL18" i="10" s="1"/>
  <c r="AU18" i="10"/>
  <c r="AV18" i="10" s="1"/>
  <c r="AA18" i="10"/>
  <c r="AB18" i="10" s="1"/>
  <c r="Q18" i="10"/>
  <c r="R18" i="10" s="1"/>
  <c r="AC18" i="10"/>
  <c r="AD18" i="10" s="1"/>
  <c r="AM18" i="10"/>
  <c r="AN18" i="10" s="1"/>
  <c r="AW18" i="10"/>
  <c r="AX18" i="10" s="1"/>
  <c r="S18" i="10"/>
  <c r="T18" i="10" s="1"/>
  <c r="AY18" i="10"/>
  <c r="AZ18" i="10" s="1"/>
  <c r="I18" i="10"/>
  <c r="J18" i="10" s="1"/>
  <c r="U18" i="10"/>
  <c r="V18" i="10" s="1"/>
  <c r="AE18" i="10"/>
  <c r="AF18" i="10" s="1"/>
  <c r="AO18" i="10"/>
  <c r="AP18" i="10" s="1"/>
  <c r="BA18" i="10"/>
  <c r="BB18" i="10" s="1"/>
  <c r="AQ18" i="10"/>
  <c r="AR18" i="10" s="1"/>
  <c r="K18" i="10"/>
  <c r="L18" i="10" s="1"/>
  <c r="I18" i="8"/>
  <c r="U38" i="10"/>
  <c r="V38" i="10" s="1"/>
  <c r="G36" i="10"/>
  <c r="H36" i="10" s="1"/>
  <c r="M36" i="10"/>
  <c r="N36" i="10" s="1"/>
  <c r="AW38" i="10"/>
  <c r="AX38" i="10" s="1"/>
  <c r="AA38" i="10"/>
  <c r="AB38" i="10" s="1"/>
  <c r="AU38" i="10"/>
  <c r="AV38" i="10" s="1"/>
  <c r="G38" i="10"/>
  <c r="H38" i="10" s="1"/>
  <c r="F6" i="10"/>
  <c r="W36" i="10"/>
  <c r="X36" i="10" s="1"/>
  <c r="W38" i="10"/>
  <c r="X38" i="10" s="1"/>
  <c r="AK38" i="10"/>
  <c r="AL38" i="10" s="1"/>
  <c r="BA36" i="10"/>
  <c r="BB36" i="10" s="1"/>
  <c r="Y36" i="10"/>
  <c r="Z36" i="10" s="1"/>
  <c r="I36" i="10"/>
  <c r="J36" i="10" s="1"/>
  <c r="AO36" i="10"/>
  <c r="AP36" i="10" s="1"/>
  <c r="AA36" i="10"/>
  <c r="AB36" i="10" s="1"/>
  <c r="AI35" i="10"/>
  <c r="AJ35" i="10" s="1"/>
  <c r="AS35" i="10"/>
  <c r="AT35" i="10" s="1"/>
  <c r="AK36" i="10"/>
  <c r="AL36" i="10" s="1"/>
  <c r="AG36" i="10"/>
  <c r="AH36" i="10" s="1"/>
  <c r="AK35" i="10"/>
  <c r="AL35" i="10" s="1"/>
  <c r="AM36" i="10"/>
  <c r="AN36" i="10" s="1"/>
  <c r="BC36" i="10"/>
  <c r="BD36" i="10" s="1"/>
  <c r="F4" i="10"/>
  <c r="AO35" i="10"/>
  <c r="AP35" i="10" s="1"/>
  <c r="AY36" i="10"/>
  <c r="AZ36" i="10" s="1"/>
  <c r="AW36" i="10"/>
  <c r="AX36" i="10" s="1"/>
  <c r="O36" i="10"/>
  <c r="P36" i="10" s="1"/>
  <c r="AE36" i="10"/>
  <c r="AF36" i="10" s="1"/>
  <c r="AI36" i="10"/>
  <c r="AJ36" i="10" s="1"/>
  <c r="AS36" i="10"/>
  <c r="AT36" i="10" s="1"/>
  <c r="AQ35" i="10"/>
  <c r="AR35" i="10" s="1"/>
  <c r="AQ38" i="10"/>
  <c r="AR38" i="10" s="1"/>
  <c r="K36" i="10"/>
  <c r="L36" i="10" s="1"/>
  <c r="AE38" i="10"/>
  <c r="AF38" i="10" s="1"/>
  <c r="AO38" i="10"/>
  <c r="AP38" i="10" s="1"/>
  <c r="AU36" i="10"/>
  <c r="AV36" i="10" s="1"/>
  <c r="AS38" i="10"/>
  <c r="AT38" i="10" s="1"/>
  <c r="Q36" i="10"/>
  <c r="R36" i="10" s="1"/>
  <c r="AG38" i="10"/>
  <c r="AH38" i="10" s="1"/>
  <c r="BA38" i="10"/>
  <c r="BB38" i="10" s="1"/>
  <c r="AI38" i="10"/>
  <c r="AJ38" i="10" s="1"/>
  <c r="Y38" i="10"/>
  <c r="Z38" i="10" s="1"/>
  <c r="Q38" i="10"/>
  <c r="R38" i="10" s="1"/>
  <c r="AQ36" i="10"/>
  <c r="AR36" i="10" s="1"/>
  <c r="S36" i="10"/>
  <c r="T36" i="10" s="1"/>
  <c r="AC36" i="10"/>
  <c r="AD36" i="10" s="1"/>
  <c r="I38" i="10"/>
  <c r="J38" i="10" s="1"/>
  <c r="AY38" i="10"/>
  <c r="AZ38" i="10" s="1"/>
  <c r="O38" i="10"/>
  <c r="P38" i="10" s="1"/>
  <c r="AC38" i="10"/>
  <c r="AD38" i="10" s="1"/>
  <c r="K38" i="10"/>
  <c r="L38" i="10" s="1"/>
  <c r="BC38" i="10"/>
  <c r="BD38" i="10" s="1"/>
  <c r="AM38" i="10"/>
  <c r="AN38" i="10" s="1"/>
  <c r="M46" i="10"/>
  <c r="N46" i="10" s="1"/>
  <c r="I46" i="10"/>
  <c r="J46" i="10" s="1"/>
  <c r="AC45" i="10"/>
  <c r="AD45" i="10" s="1"/>
  <c r="AQ45" i="10"/>
  <c r="AR45" i="10" s="1"/>
  <c r="O46" i="10"/>
  <c r="P46" i="10" s="1"/>
  <c r="G46" i="10"/>
  <c r="H46" i="10" s="1"/>
  <c r="AW46" i="10"/>
  <c r="AX46" i="10" s="1"/>
  <c r="S46" i="10"/>
  <c r="T46" i="10" s="1"/>
  <c r="U46" i="10"/>
  <c r="V46" i="10" s="1"/>
  <c r="AO45" i="10"/>
  <c r="AP45" i="10" s="1"/>
  <c r="K46" i="10"/>
  <c r="L46" i="10" s="1"/>
  <c r="AO46" i="10"/>
  <c r="AP46" i="10" s="1"/>
  <c r="AA46" i="10"/>
  <c r="AB46" i="10" s="1"/>
  <c r="AG46" i="10"/>
  <c r="AH46" i="10" s="1"/>
  <c r="AU45" i="10"/>
  <c r="AV45" i="10" s="1"/>
  <c r="AI45" i="10"/>
  <c r="AJ45" i="10" s="1"/>
  <c r="AS46" i="10"/>
  <c r="AT46" i="10" s="1"/>
  <c r="BC46" i="10"/>
  <c r="BD46" i="10" s="1"/>
  <c r="AS45" i="10"/>
  <c r="AT45" i="10" s="1"/>
  <c r="BA46" i="10"/>
  <c r="BB46" i="10" s="1"/>
  <c r="AM45" i="10"/>
  <c r="AN45" i="10" s="1"/>
  <c r="AC46" i="10"/>
  <c r="AD46" i="10" s="1"/>
  <c r="AE45" i="10"/>
  <c r="AF45" i="10" s="1"/>
  <c r="Y46" i="10"/>
  <c r="Z46" i="10" s="1"/>
  <c r="AM46" i="10"/>
  <c r="AN46" i="10" s="1"/>
  <c r="AU46" i="10"/>
  <c r="AV46" i="10" s="1"/>
  <c r="AY45" i="10"/>
  <c r="AZ45" i="10" s="1"/>
  <c r="AK45" i="10"/>
  <c r="AL45" i="10" s="1"/>
  <c r="Q46" i="10"/>
  <c r="R46" i="10" s="1"/>
  <c r="F14" i="10"/>
  <c r="AI46" i="10"/>
  <c r="AJ46" i="10" s="1"/>
  <c r="AQ46" i="10"/>
  <c r="AR46" i="10" s="1"/>
  <c r="AE46" i="10"/>
  <c r="AF46" i="10" s="1"/>
  <c r="AY46" i="10"/>
  <c r="AZ46" i="10" s="1"/>
  <c r="W46" i="10"/>
  <c r="X46" i="10" s="1"/>
  <c r="AK46" i="10"/>
  <c r="AL46" i="10" s="1"/>
  <c r="AA45" i="10"/>
  <c r="AB45" i="10" s="1"/>
  <c r="AW45" i="10"/>
  <c r="AX45" i="10" s="1"/>
  <c r="D4" i="16" l="1"/>
  <c r="E4" i="16" s="1"/>
  <c r="AC19" i="10"/>
  <c r="AD19" i="10" s="1"/>
  <c r="AA19" i="10"/>
  <c r="AB19" i="10" s="1"/>
  <c r="BA19" i="10"/>
  <c r="BB19" i="10" s="1"/>
  <c r="AY19" i="10"/>
  <c r="AZ19" i="10" s="1"/>
  <c r="AO19" i="10"/>
  <c r="AP19" i="10" s="1"/>
  <c r="U19" i="10"/>
  <c r="V19" i="10" s="1"/>
  <c r="AK19" i="10"/>
  <c r="AL19" i="10" s="1"/>
  <c r="AI19" i="10"/>
  <c r="AJ19" i="10" s="1"/>
  <c r="M19" i="10"/>
  <c r="N19" i="10" s="1"/>
  <c r="O19" i="10"/>
  <c r="P19" i="10" s="1"/>
  <c r="BC19" i="10"/>
  <c r="BD19" i="10" s="1"/>
  <c r="AW19" i="10"/>
  <c r="AX19" i="10" s="1"/>
  <c r="AG19" i="10"/>
  <c r="AH19" i="10" s="1"/>
  <c r="AM19" i="10"/>
  <c r="AN19" i="10" s="1"/>
  <c r="K19" i="10"/>
  <c r="L19" i="10" s="1"/>
  <c r="AS19" i="10"/>
  <c r="AT19" i="10" s="1"/>
  <c r="AE19" i="10"/>
  <c r="AF19" i="10" s="1"/>
  <c r="Q19" i="10"/>
  <c r="R19" i="10" s="1"/>
  <c r="AU19" i="10"/>
  <c r="AV19" i="10" s="1"/>
  <c r="W19" i="10"/>
  <c r="X19" i="10" s="1"/>
  <c r="I19" i="10"/>
  <c r="J19" i="10" s="1"/>
  <c r="Y19" i="10"/>
  <c r="Z19" i="10" s="1"/>
  <c r="AQ19" i="10"/>
  <c r="AR19" i="10" s="1"/>
  <c r="H19" i="8"/>
  <c r="L18" i="8"/>
  <c r="M18" i="8" s="1"/>
  <c r="D50" i="10"/>
  <c r="F18" i="10" s="1"/>
  <c r="U49" i="10"/>
  <c r="V49" i="10" s="1"/>
  <c r="AI49" i="10"/>
  <c r="AJ49" i="10" s="1"/>
  <c r="AY49" i="10"/>
  <c r="AZ49" i="10" s="1"/>
  <c r="G49" i="10"/>
  <c r="H49" i="10" s="1"/>
  <c r="W49" i="10"/>
  <c r="X49" i="10" s="1"/>
  <c r="AK49" i="10"/>
  <c r="AL49" i="10" s="1"/>
  <c r="BA49" i="10"/>
  <c r="BB49" i="10" s="1"/>
  <c r="I49" i="10"/>
  <c r="J49" i="10" s="1"/>
  <c r="Y49" i="10"/>
  <c r="Z49" i="10" s="1"/>
  <c r="AM49" i="10"/>
  <c r="AN49" i="10" s="1"/>
  <c r="BC49" i="10"/>
  <c r="BD49" i="10" s="1"/>
  <c r="K49" i="10"/>
  <c r="L49" i="10" s="1"/>
  <c r="AA49" i="10"/>
  <c r="AB49" i="10" s="1"/>
  <c r="AO49" i="10"/>
  <c r="AP49" i="10" s="1"/>
  <c r="M49" i="10"/>
  <c r="N49" i="10" s="1"/>
  <c r="AC49" i="10"/>
  <c r="AD49" i="10" s="1"/>
  <c r="AQ49" i="10"/>
  <c r="AR49" i="10" s="1"/>
  <c r="O49" i="10"/>
  <c r="P49" i="10" s="1"/>
  <c r="AE49" i="10"/>
  <c r="AF49" i="10" s="1"/>
  <c r="AS49" i="10"/>
  <c r="AT49" i="10" s="1"/>
  <c r="Q49" i="10"/>
  <c r="R49" i="10" s="1"/>
  <c r="AG49" i="10"/>
  <c r="AH49" i="10" s="1"/>
  <c r="AU49" i="10"/>
  <c r="AV49" i="10" s="1"/>
  <c r="E17" i="10"/>
  <c r="S49" i="10"/>
  <c r="T49" i="10" s="1"/>
  <c r="AW49" i="10"/>
  <c r="AX49" i="10" s="1"/>
  <c r="D20" i="10"/>
  <c r="K20" i="8"/>
  <c r="J20" i="8"/>
  <c r="E18" i="10"/>
  <c r="C20" i="10"/>
  <c r="I19" i="8"/>
  <c r="C21" i="10" l="1"/>
  <c r="AM50" i="10"/>
  <c r="AN50" i="10" s="1"/>
  <c r="BA50" i="10"/>
  <c r="BB50" i="10" s="1"/>
  <c r="AU50" i="10"/>
  <c r="AV50" i="10" s="1"/>
  <c r="AI50" i="10"/>
  <c r="AJ50" i="10" s="1"/>
  <c r="O50" i="10"/>
  <c r="P50" i="10" s="1"/>
  <c r="AC50" i="10"/>
  <c r="AD50" i="10" s="1"/>
  <c r="AS50" i="10"/>
  <c r="AT50" i="10" s="1"/>
  <c r="AY50" i="10"/>
  <c r="AZ50" i="10" s="1"/>
  <c r="AG50" i="10"/>
  <c r="AH50" i="10" s="1"/>
  <c r="AQ50" i="10"/>
  <c r="AR50" i="10" s="1"/>
  <c r="U50" i="10"/>
  <c r="V50" i="10" s="1"/>
  <c r="W50" i="10"/>
  <c r="X50" i="10" s="1"/>
  <c r="I50" i="10"/>
  <c r="J50" i="10" s="1"/>
  <c r="AE50" i="10"/>
  <c r="AF50" i="10" s="1"/>
  <c r="K50" i="10"/>
  <c r="L50" i="10" s="1"/>
  <c r="AO50" i="10"/>
  <c r="AP50" i="10" s="1"/>
  <c r="Q50" i="10"/>
  <c r="R50" i="10" s="1"/>
  <c r="AA50" i="10"/>
  <c r="AB50" i="10" s="1"/>
  <c r="BC50" i="10"/>
  <c r="BD50" i="10" s="1"/>
  <c r="Y50" i="10"/>
  <c r="Z50" i="10" s="1"/>
  <c r="AK50" i="10"/>
  <c r="AL50" i="10" s="1"/>
  <c r="AW50" i="10"/>
  <c r="AX50" i="10" s="1"/>
  <c r="M50" i="10"/>
  <c r="N50" i="10" s="1"/>
  <c r="S50" i="10"/>
  <c r="T50" i="10" s="1"/>
  <c r="G50" i="10"/>
  <c r="H50" i="10" s="1"/>
  <c r="D21" i="10"/>
  <c r="K21" i="8"/>
  <c r="C11" i="16" s="1"/>
  <c r="J21" i="8"/>
  <c r="B11" i="16" s="1"/>
  <c r="C51" i="10"/>
  <c r="L19" i="8"/>
  <c r="M19" i="8" s="1"/>
  <c r="D51" i="10"/>
  <c r="F19" i="10" s="1"/>
  <c r="C52" i="10"/>
  <c r="H20" i="8"/>
  <c r="I20" i="8"/>
  <c r="M20" i="10"/>
  <c r="N20" i="10" s="1"/>
  <c r="W20" i="10"/>
  <c r="X20" i="10" s="1"/>
  <c r="AG20" i="10"/>
  <c r="AH20" i="10" s="1"/>
  <c r="AS20" i="10"/>
  <c r="AT20" i="10" s="1"/>
  <c r="BC20" i="10"/>
  <c r="BD20" i="10" s="1"/>
  <c r="AI20" i="10"/>
  <c r="AJ20" i="10" s="1"/>
  <c r="O20" i="10"/>
  <c r="P20" i="10" s="1"/>
  <c r="Y20" i="10"/>
  <c r="Z20" i="10" s="1"/>
  <c r="AK20" i="10"/>
  <c r="AL20" i="10" s="1"/>
  <c r="AU20" i="10"/>
  <c r="AV20" i="10" s="1"/>
  <c r="AA20" i="10"/>
  <c r="AB20" i="10" s="1"/>
  <c r="Q20" i="10"/>
  <c r="R20" i="10" s="1"/>
  <c r="AC20" i="10"/>
  <c r="AD20" i="10" s="1"/>
  <c r="AM20" i="10"/>
  <c r="AN20" i="10" s="1"/>
  <c r="AW20" i="10"/>
  <c r="AX20" i="10" s="1"/>
  <c r="S20" i="10"/>
  <c r="T20" i="10" s="1"/>
  <c r="AY20" i="10"/>
  <c r="AZ20" i="10" s="1"/>
  <c r="I20" i="10"/>
  <c r="J20" i="10" s="1"/>
  <c r="U20" i="10"/>
  <c r="V20" i="10" s="1"/>
  <c r="AE20" i="10"/>
  <c r="AF20" i="10" s="1"/>
  <c r="AO20" i="10"/>
  <c r="AP20" i="10" s="1"/>
  <c r="BA20" i="10"/>
  <c r="BB20" i="10" s="1"/>
  <c r="AQ20" i="10"/>
  <c r="AR20" i="10" s="1"/>
  <c r="K20" i="10"/>
  <c r="L20" i="10" s="1"/>
  <c r="C22" i="10"/>
  <c r="U21" i="10" l="1"/>
  <c r="V21" i="10" s="1"/>
  <c r="D11" i="16"/>
  <c r="E11" i="16" s="1"/>
  <c r="B5" i="9"/>
  <c r="AU21" i="10"/>
  <c r="AV21" i="10" s="1"/>
  <c r="W21" i="10"/>
  <c r="X21" i="10" s="1"/>
  <c r="I21" i="10"/>
  <c r="J21" i="10" s="1"/>
  <c r="Y21" i="10"/>
  <c r="Z21" i="10" s="1"/>
  <c r="AQ21" i="10"/>
  <c r="AR21" i="10" s="1"/>
  <c r="S21" i="10"/>
  <c r="T21" i="10" s="1"/>
  <c r="O21" i="10"/>
  <c r="P21" i="10" s="1"/>
  <c r="K21" i="10"/>
  <c r="L21" i="10" s="1"/>
  <c r="AW21" i="10"/>
  <c r="AX21" i="10" s="1"/>
  <c r="AK21" i="10"/>
  <c r="AL21" i="10" s="1"/>
  <c r="M21" i="10"/>
  <c r="N21" i="10" s="1"/>
  <c r="AY21" i="10"/>
  <c r="AZ21" i="10" s="1"/>
  <c r="AI21" i="10"/>
  <c r="AJ21" i="10" s="1"/>
  <c r="BA21" i="10"/>
  <c r="BB21" i="10" s="1"/>
  <c r="AM21" i="10"/>
  <c r="AN21" i="10" s="1"/>
  <c r="BC21" i="10"/>
  <c r="BD21" i="10" s="1"/>
  <c r="AO21" i="10"/>
  <c r="AP21" i="10" s="1"/>
  <c r="AC21" i="10"/>
  <c r="AD21" i="10" s="1"/>
  <c r="AS21" i="10"/>
  <c r="AT21" i="10" s="1"/>
  <c r="AE21" i="10"/>
  <c r="AF21" i="10" s="1"/>
  <c r="Q21" i="10"/>
  <c r="R21" i="10" s="1"/>
  <c r="AA21" i="10"/>
  <c r="AB21" i="10" s="1"/>
  <c r="AG21" i="10"/>
  <c r="AH21" i="10" s="1"/>
  <c r="L20" i="8"/>
  <c r="M20" i="8" s="1"/>
  <c r="D52" i="10"/>
  <c r="F20" i="10" s="1"/>
  <c r="E20" i="10"/>
  <c r="I51" i="10"/>
  <c r="J51" i="10" s="1"/>
  <c r="E19" i="10"/>
  <c r="AK51" i="10"/>
  <c r="AL51" i="10" s="1"/>
  <c r="AS51" i="10"/>
  <c r="AT51" i="10" s="1"/>
  <c r="BA51" i="10"/>
  <c r="BB51" i="10" s="1"/>
  <c r="AY51" i="10"/>
  <c r="AZ51" i="10" s="1"/>
  <c r="BC51" i="10"/>
  <c r="BD51" i="10" s="1"/>
  <c r="AQ51" i="10"/>
  <c r="AR51" i="10" s="1"/>
  <c r="AU51" i="10"/>
  <c r="AV51" i="10" s="1"/>
  <c r="AI51" i="10"/>
  <c r="AJ51" i="10" s="1"/>
  <c r="AM51" i="10"/>
  <c r="AN51" i="10" s="1"/>
  <c r="AA51" i="10"/>
  <c r="AB51" i="10" s="1"/>
  <c r="AW51" i="10"/>
  <c r="AX51" i="10" s="1"/>
  <c r="Q51" i="10"/>
  <c r="R51" i="10" s="1"/>
  <c r="AE51" i="10"/>
  <c r="AF51" i="10" s="1"/>
  <c r="U51" i="10"/>
  <c r="V51" i="10" s="1"/>
  <c r="S51" i="10"/>
  <c r="T51" i="10" s="1"/>
  <c r="AO51" i="10"/>
  <c r="AP51" i="10" s="1"/>
  <c r="G51" i="10"/>
  <c r="H51" i="10" s="1"/>
  <c r="W51" i="10"/>
  <c r="X51" i="10" s="1"/>
  <c r="K51" i="10"/>
  <c r="L51" i="10" s="1"/>
  <c r="AC51" i="10"/>
  <c r="AD51" i="10" s="1"/>
  <c r="AG51" i="10"/>
  <c r="AH51" i="10" s="1"/>
  <c r="O51" i="10"/>
  <c r="P51" i="10" s="1"/>
  <c r="M51" i="10"/>
  <c r="N51" i="10" s="1"/>
  <c r="Y51" i="10"/>
  <c r="Z51" i="10" s="1"/>
  <c r="H21" i="8"/>
  <c r="I21" i="8"/>
  <c r="D22" i="10"/>
  <c r="AG22" i="10" s="1"/>
  <c r="AH22" i="10" s="1"/>
  <c r="K22" i="8"/>
  <c r="J22" i="8"/>
  <c r="B2" i="9" l="1"/>
  <c r="B7" i="16"/>
  <c r="C2" i="9"/>
  <c r="C7" i="16"/>
  <c r="C23" i="10"/>
  <c r="AC22" i="10"/>
  <c r="AD22" i="10" s="1"/>
  <c r="S52" i="10"/>
  <c r="T52" i="10" s="1"/>
  <c r="BC52" i="10"/>
  <c r="BD52" i="10" s="1"/>
  <c r="AA52" i="10"/>
  <c r="AB52" i="10" s="1"/>
  <c r="AO22" i="10"/>
  <c r="AP22" i="10" s="1"/>
  <c r="W52" i="10"/>
  <c r="X52" i="10" s="1"/>
  <c r="M52" i="10"/>
  <c r="N52" i="10" s="1"/>
  <c r="AO52" i="10"/>
  <c r="AP52" i="10" s="1"/>
  <c r="I52" i="10"/>
  <c r="J52" i="10" s="1"/>
  <c r="K52" i="10"/>
  <c r="L52" i="10" s="1"/>
  <c r="Q52" i="10"/>
  <c r="R52" i="10" s="1"/>
  <c r="G52" i="10"/>
  <c r="H52" i="10" s="1"/>
  <c r="BA22" i="10"/>
  <c r="BB22" i="10" s="1"/>
  <c r="AU52" i="10"/>
  <c r="AV52" i="10" s="1"/>
  <c r="BA52" i="10"/>
  <c r="BB52" i="10" s="1"/>
  <c r="AK52" i="10"/>
  <c r="AL52" i="10" s="1"/>
  <c r="Y52" i="10"/>
  <c r="Z52" i="10" s="1"/>
  <c r="U52" i="10"/>
  <c r="V52" i="10" s="1"/>
  <c r="AI52" i="10"/>
  <c r="AJ52" i="10" s="1"/>
  <c r="AM22" i="10"/>
  <c r="AN22" i="10" s="1"/>
  <c r="O52" i="10"/>
  <c r="P52" i="10" s="1"/>
  <c r="AW52" i="10"/>
  <c r="AX52" i="10" s="1"/>
  <c r="AY52" i="10"/>
  <c r="AZ52" i="10" s="1"/>
  <c r="AC52" i="10"/>
  <c r="AD52" i="10" s="1"/>
  <c r="AE52" i="10"/>
  <c r="AF52" i="10" s="1"/>
  <c r="AG52" i="10"/>
  <c r="AH52" i="10" s="1"/>
  <c r="AS52" i="10"/>
  <c r="AT52" i="10" s="1"/>
  <c r="AM52" i="10"/>
  <c r="AN52" i="10" s="1"/>
  <c r="AQ52" i="10"/>
  <c r="AR52" i="10" s="1"/>
  <c r="I22" i="10"/>
  <c r="J22" i="10" s="1"/>
  <c r="AU22" i="10"/>
  <c r="AV22" i="10" s="1"/>
  <c r="W22" i="10"/>
  <c r="X22" i="10" s="1"/>
  <c r="AY22" i="10"/>
  <c r="AZ22" i="10" s="1"/>
  <c r="AK22" i="10"/>
  <c r="AL22" i="10" s="1"/>
  <c r="M22" i="10"/>
  <c r="N22" i="10" s="1"/>
  <c r="H22" i="8"/>
  <c r="AQ22" i="10"/>
  <c r="AR22" i="10" s="1"/>
  <c r="D54" i="10"/>
  <c r="I22" i="8"/>
  <c r="S22" i="10"/>
  <c r="T22" i="10" s="1"/>
  <c r="Y22" i="10"/>
  <c r="Z22" i="10" s="1"/>
  <c r="J23" i="8"/>
  <c r="D23" i="10"/>
  <c r="K23" i="8"/>
  <c r="K22" i="10"/>
  <c r="L22" i="10" s="1"/>
  <c r="AW22" i="10"/>
  <c r="AX22" i="10" s="1"/>
  <c r="O22" i="10"/>
  <c r="P22" i="10" s="1"/>
  <c r="AI22" i="10"/>
  <c r="AJ22" i="10" s="1"/>
  <c r="D53" i="10"/>
  <c r="L21" i="8"/>
  <c r="M21" i="8" s="1"/>
  <c r="C53" i="10"/>
  <c r="BC22" i="10"/>
  <c r="BD22" i="10" s="1"/>
  <c r="AE22" i="10"/>
  <c r="AF22" i="10" s="1"/>
  <c r="Q22" i="10"/>
  <c r="R22" i="10" s="1"/>
  <c r="AS22" i="10"/>
  <c r="AT22" i="10" s="1"/>
  <c r="U22" i="10"/>
  <c r="V22" i="10" s="1"/>
  <c r="AA22" i="10"/>
  <c r="AB22" i="10" s="1"/>
  <c r="D7" i="16" l="1"/>
  <c r="E7" i="16" s="1"/>
  <c r="C17" i="16"/>
  <c r="C5" i="16"/>
  <c r="B17" i="16"/>
  <c r="B5" i="16"/>
  <c r="D2" i="9"/>
  <c r="E2" i="9" s="1"/>
  <c r="S23" i="10"/>
  <c r="T23" i="10" s="1"/>
  <c r="G30" i="10" s="1"/>
  <c r="W23" i="10"/>
  <c r="X23" i="10" s="1"/>
  <c r="I30" i="10" s="1"/>
  <c r="I23" i="10"/>
  <c r="J23" i="10" s="1"/>
  <c r="G31" i="10" s="1"/>
  <c r="AU23" i="10"/>
  <c r="AV23" i="10" s="1"/>
  <c r="F27" i="10" s="1"/>
  <c r="AQ23" i="10"/>
  <c r="AR23" i="10" s="1"/>
  <c r="I28" i="10" s="1"/>
  <c r="AW23" i="10"/>
  <c r="AX23" i="10" s="1"/>
  <c r="G27" i="10" s="1"/>
  <c r="AC23" i="10"/>
  <c r="AD23" i="10" s="1"/>
  <c r="G29" i="10" s="1"/>
  <c r="AK23" i="10"/>
  <c r="AL23" i="10" s="1"/>
  <c r="F28" i="10" s="1"/>
  <c r="AY23" i="10"/>
  <c r="AZ23" i="10" s="1"/>
  <c r="H27" i="10" s="1"/>
  <c r="O23" i="10"/>
  <c r="P23" i="10" s="1"/>
  <c r="J31" i="10" s="1"/>
  <c r="K23" i="10"/>
  <c r="L23" i="10" s="1"/>
  <c r="H31" i="10" s="1"/>
  <c r="AI23" i="10"/>
  <c r="AJ23" i="10" s="1"/>
  <c r="J29" i="10" s="1"/>
  <c r="AM23" i="10"/>
  <c r="AN23" i="10" s="1"/>
  <c r="G28" i="10" s="1"/>
  <c r="AO23" i="10"/>
  <c r="AP23" i="10" s="1"/>
  <c r="H28" i="10" s="1"/>
  <c r="AS23" i="10"/>
  <c r="AT23" i="10" s="1"/>
  <c r="J28" i="10" s="1"/>
  <c r="AE23" i="10"/>
  <c r="AF23" i="10" s="1"/>
  <c r="H29" i="10" s="1"/>
  <c r="Q23" i="10"/>
  <c r="R23" i="10" s="1"/>
  <c r="F30" i="10" s="1"/>
  <c r="M23" i="10"/>
  <c r="N23" i="10" s="1"/>
  <c r="I31" i="10" s="1"/>
  <c r="Y23" i="10"/>
  <c r="Z23" i="10" s="1"/>
  <c r="J30" i="10" s="1"/>
  <c r="BA23" i="10"/>
  <c r="BB23" i="10" s="1"/>
  <c r="I27" i="10" s="1"/>
  <c r="BC23" i="10"/>
  <c r="BD23" i="10" s="1"/>
  <c r="J27" i="10" s="1"/>
  <c r="AA23" i="10"/>
  <c r="AB23" i="10" s="1"/>
  <c r="F29" i="10" s="1"/>
  <c r="AG23" i="10"/>
  <c r="AH23" i="10" s="1"/>
  <c r="I29" i="10" s="1"/>
  <c r="U23" i="10"/>
  <c r="V23" i="10" s="1"/>
  <c r="H30" i="10" s="1"/>
  <c r="F22" i="10"/>
  <c r="G53" i="10"/>
  <c r="H53" i="10" s="1"/>
  <c r="F21" i="10"/>
  <c r="I23" i="8"/>
  <c r="I24" i="8" s="1"/>
  <c r="C3" i="9"/>
  <c r="H23" i="8"/>
  <c r="H24" i="8" s="1"/>
  <c r="B3" i="9"/>
  <c r="L22" i="8"/>
  <c r="M22" i="8" s="1"/>
  <c r="C54" i="10"/>
  <c r="I53" i="10"/>
  <c r="J53" i="10" s="1"/>
  <c r="E21" i="10"/>
  <c r="M53" i="10"/>
  <c r="N53" i="10" s="1"/>
  <c r="AE53" i="10"/>
  <c r="AF53" i="10" s="1"/>
  <c r="AQ53" i="10"/>
  <c r="AR53" i="10" s="1"/>
  <c r="W53" i="10"/>
  <c r="X53" i="10" s="1"/>
  <c r="AM53" i="10"/>
  <c r="AN53" i="10" s="1"/>
  <c r="S53" i="10"/>
  <c r="T53" i="10" s="1"/>
  <c r="AY53" i="10"/>
  <c r="AZ53" i="10" s="1"/>
  <c r="O53" i="10"/>
  <c r="P53" i="10" s="1"/>
  <c r="BA53" i="10"/>
  <c r="BB53" i="10" s="1"/>
  <c r="K53" i="10"/>
  <c r="L53" i="10" s="1"/>
  <c r="AW53" i="10"/>
  <c r="AX53" i="10" s="1"/>
  <c r="AS53" i="10"/>
  <c r="AT53" i="10" s="1"/>
  <c r="AO53" i="10"/>
  <c r="AP53" i="10" s="1"/>
  <c r="AA53" i="10"/>
  <c r="AB53" i="10" s="1"/>
  <c r="AI53" i="10"/>
  <c r="AJ53" i="10" s="1"/>
  <c r="AK53" i="10"/>
  <c r="AL53" i="10" s="1"/>
  <c r="AG53" i="10"/>
  <c r="AH53" i="10" s="1"/>
  <c r="BC53" i="10"/>
  <c r="BD53" i="10" s="1"/>
  <c r="U53" i="10"/>
  <c r="V53" i="10" s="1"/>
  <c r="AC53" i="10"/>
  <c r="AD53" i="10" s="1"/>
  <c r="Y53" i="10"/>
  <c r="Z53" i="10" s="1"/>
  <c r="AU53" i="10"/>
  <c r="AV53" i="10" s="1"/>
  <c r="Q53" i="10"/>
  <c r="R53" i="10" s="1"/>
  <c r="D17" i="16" l="1"/>
  <c r="E17" i="16" s="1"/>
  <c r="D5" i="16"/>
  <c r="E5" i="16" s="1"/>
  <c r="D3" i="9"/>
  <c r="E3" i="9" s="1"/>
  <c r="L23" i="8"/>
  <c r="M23" i="8" s="1"/>
  <c r="D55" i="10"/>
  <c r="F23" i="10" s="1"/>
  <c r="K24" i="8"/>
  <c r="C2" i="16" s="1"/>
  <c r="C55" i="10"/>
  <c r="J24" i="8"/>
  <c r="B2" i="16" s="1"/>
  <c r="AG54" i="10"/>
  <c r="AH54" i="10" s="1"/>
  <c r="AO54" i="10"/>
  <c r="AP54" i="10" s="1"/>
  <c r="AW54" i="10"/>
  <c r="AX54" i="10" s="1"/>
  <c r="E22" i="10"/>
  <c r="I54" i="10"/>
  <c r="J54" i="10" s="1"/>
  <c r="Q54" i="10"/>
  <c r="R54" i="10" s="1"/>
  <c r="Y54" i="10"/>
  <c r="Z54" i="10" s="1"/>
  <c r="BC54" i="10"/>
  <c r="BD54" i="10" s="1"/>
  <c r="M54" i="10"/>
  <c r="N54" i="10" s="1"/>
  <c r="AY54" i="10"/>
  <c r="AZ54" i="10" s="1"/>
  <c r="AU54" i="10"/>
  <c r="AV54" i="10" s="1"/>
  <c r="AQ54" i="10"/>
  <c r="AR54" i="10" s="1"/>
  <c r="AM54" i="10"/>
  <c r="AN54" i="10" s="1"/>
  <c r="AI54" i="10"/>
  <c r="AJ54" i="10" s="1"/>
  <c r="AE54" i="10"/>
  <c r="AF54" i="10" s="1"/>
  <c r="BA54" i="10"/>
  <c r="BB54" i="10" s="1"/>
  <c r="AA54" i="10"/>
  <c r="AB54" i="10" s="1"/>
  <c r="U54" i="10"/>
  <c r="V54" i="10" s="1"/>
  <c r="W54" i="10"/>
  <c r="X54" i="10" s="1"/>
  <c r="AS54" i="10"/>
  <c r="AT54" i="10" s="1"/>
  <c r="S54" i="10"/>
  <c r="T54" i="10" s="1"/>
  <c r="O54" i="10"/>
  <c r="P54" i="10" s="1"/>
  <c r="AK54" i="10"/>
  <c r="AL54" i="10" s="1"/>
  <c r="G54" i="10"/>
  <c r="H54" i="10" s="1"/>
  <c r="AC54" i="10"/>
  <c r="AD54" i="10" s="1"/>
  <c r="K54" i="10"/>
  <c r="L54" i="10" s="1"/>
  <c r="C5" i="9" l="1"/>
  <c r="D5" i="9" s="1"/>
  <c r="E5" i="9" s="1"/>
  <c r="D2" i="16"/>
  <c r="E2" i="16" s="1"/>
  <c r="L24" i="8"/>
  <c r="M24" i="8" s="1"/>
  <c r="G55" i="10"/>
  <c r="H55" i="10" s="1"/>
  <c r="N31" i="10" s="1"/>
  <c r="Q55" i="10"/>
  <c r="R55" i="10" s="1"/>
  <c r="N30" i="10" s="1"/>
  <c r="AW55" i="10"/>
  <c r="AX55" i="10" s="1"/>
  <c r="O27" i="10" s="1"/>
  <c r="E23" i="10"/>
  <c r="U55" i="10"/>
  <c r="V55" i="10" s="1"/>
  <c r="P30" i="10" s="1"/>
  <c r="BA55" i="10"/>
  <c r="BB55" i="10" s="1"/>
  <c r="Q27" i="10" s="1"/>
  <c r="Y55" i="10"/>
  <c r="Z55" i="10" s="1"/>
  <c r="R30" i="10" s="1"/>
  <c r="AC55" i="10"/>
  <c r="AD55" i="10" s="1"/>
  <c r="O29" i="10" s="1"/>
  <c r="AG55" i="10"/>
  <c r="AH55" i="10" s="1"/>
  <c r="Q29" i="10" s="1"/>
  <c r="AK55" i="10"/>
  <c r="AL55" i="10" s="1"/>
  <c r="N28" i="10" s="1"/>
  <c r="I55" i="10"/>
  <c r="J55" i="10" s="1"/>
  <c r="O31" i="10" s="1"/>
  <c r="AO55" i="10"/>
  <c r="AP55" i="10" s="1"/>
  <c r="P28" i="10" s="1"/>
  <c r="M55" i="10"/>
  <c r="N55" i="10" s="1"/>
  <c r="Q31" i="10" s="1"/>
  <c r="AS55" i="10"/>
  <c r="AT55" i="10" s="1"/>
  <c r="R28" i="10" s="1"/>
  <c r="AA55" i="10"/>
  <c r="AB55" i="10" s="1"/>
  <c r="N29" i="10" s="1"/>
  <c r="AE55" i="10"/>
  <c r="AF55" i="10" s="1"/>
  <c r="P29" i="10" s="1"/>
  <c r="S55" i="10"/>
  <c r="T55" i="10" s="1"/>
  <c r="O30" i="10" s="1"/>
  <c r="W55" i="10"/>
  <c r="X55" i="10" s="1"/>
  <c r="Q30" i="10" s="1"/>
  <c r="K55" i="10"/>
  <c r="L55" i="10" s="1"/>
  <c r="P31" i="10" s="1"/>
  <c r="O55" i="10"/>
  <c r="P55" i="10" s="1"/>
  <c r="R31" i="10" s="1"/>
  <c r="AY55" i="10"/>
  <c r="AZ55" i="10" s="1"/>
  <c r="P27" i="10" s="1"/>
  <c r="BC55" i="10"/>
  <c r="BD55" i="10" s="1"/>
  <c r="R27" i="10" s="1"/>
  <c r="AQ55" i="10"/>
  <c r="AR55" i="10" s="1"/>
  <c r="Q28" i="10" s="1"/>
  <c r="AU55" i="10"/>
  <c r="AV55" i="10" s="1"/>
  <c r="N27" i="10" s="1"/>
  <c r="AI55" i="10"/>
  <c r="AJ55" i="10" s="1"/>
  <c r="R29" i="10" s="1"/>
  <c r="AM55" i="10"/>
  <c r="AN55" i="10" s="1"/>
  <c r="O28" i="10" s="1"/>
  <c r="D7" i="13"/>
  <c r="E7" i="13" s="1"/>
  <c r="D3" i="13"/>
  <c r="E3" i="13" s="1"/>
  <c r="D4" i="13"/>
  <c r="E4" i="13" s="1"/>
  <c r="D11" i="13"/>
  <c r="E11" i="13" s="1"/>
  <c r="D5" i="6"/>
  <c r="E5" i="6" s="1"/>
  <c r="D2" i="13"/>
  <c r="E2" i="13" s="1"/>
  <c r="D4" i="6"/>
  <c r="E4" i="6" s="1"/>
  <c r="D5" i="13"/>
  <c r="E5" i="13" s="1"/>
  <c r="D8" i="13"/>
  <c r="E8" i="13" s="1"/>
  <c r="D2" i="6"/>
  <c r="E2" i="6" s="1"/>
  <c r="D10" i="13"/>
  <c r="E10" i="13" s="1"/>
  <c r="D16" i="13"/>
  <c r="E16" i="13" s="1"/>
  <c r="D3" i="6"/>
  <c r="E3" i="6" s="1"/>
  <c r="D17" i="13"/>
  <c r="E17" i="13" s="1"/>
  <c r="D6" i="13"/>
  <c r="E6" i="13" s="1"/>
</calcChain>
</file>

<file path=xl/comments1.xml><?xml version="1.0" encoding="utf-8"?>
<comments xmlns="http://schemas.openxmlformats.org/spreadsheetml/2006/main">
  <authors>
    <author>Usuario de Windows</author>
  </authors>
  <commentList>
    <comment ref="F10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Criterios de evaluación en la hoja de criterios al final</t>
        </r>
      </text>
    </comment>
  </commentList>
</comments>
</file>

<file path=xl/sharedStrings.xml><?xml version="1.0" encoding="utf-8"?>
<sst xmlns="http://schemas.openxmlformats.org/spreadsheetml/2006/main" count="1229" uniqueCount="296">
  <si>
    <t>CONTENIDO</t>
  </si>
  <si>
    <t>Introducción</t>
  </si>
  <si>
    <t>Escenarios de Riesgo</t>
  </si>
  <si>
    <t>Controles</t>
  </si>
  <si>
    <t>Matriz de Riesgo Residual</t>
  </si>
  <si>
    <t>RIESGO</t>
  </si>
  <si>
    <t>FACTOR DE RIESGO</t>
  </si>
  <si>
    <t>CONSECUENCIA</t>
  </si>
  <si>
    <t>Reputacional</t>
  </si>
  <si>
    <t>De Contagio</t>
  </si>
  <si>
    <t>Legal</t>
  </si>
  <si>
    <t>Operativo</t>
  </si>
  <si>
    <t>Moderado</t>
  </si>
  <si>
    <t>PROBABILIDAD</t>
  </si>
  <si>
    <t>COD_FACTOR</t>
  </si>
  <si>
    <t>COD_PROBABILIDAD</t>
  </si>
  <si>
    <t>COD_CONSECUENCIA</t>
  </si>
  <si>
    <t>Significativo</t>
  </si>
  <si>
    <t>Mayor</t>
  </si>
  <si>
    <t>Menor</t>
  </si>
  <si>
    <t>Insignificante</t>
  </si>
  <si>
    <t>Producto</t>
  </si>
  <si>
    <t>RIESGO ASOCIADO</t>
  </si>
  <si>
    <t>COD_RIESGO_ASOCIADO</t>
  </si>
  <si>
    <t>P</t>
  </si>
  <si>
    <t>C</t>
  </si>
  <si>
    <t>Probabilidad</t>
  </si>
  <si>
    <t>Consecuencia</t>
  </si>
  <si>
    <t>Nivel de Riesgo</t>
  </si>
  <si>
    <t>(P)</t>
  </si>
  <si>
    <t>(C)</t>
  </si>
  <si>
    <t>Evaluacion</t>
  </si>
  <si>
    <t>BAJO</t>
  </si>
  <si>
    <t>P*C</t>
  </si>
  <si>
    <t>MEDIO</t>
  </si>
  <si>
    <t>ALTO</t>
  </si>
  <si>
    <t>EXTREMO</t>
  </si>
  <si>
    <t>Riesgo Inherente</t>
  </si>
  <si>
    <t>Tratamiento</t>
  </si>
  <si>
    <t>Analizar</t>
  </si>
  <si>
    <t>Tratar</t>
  </si>
  <si>
    <t>Prevenir/Tratar</t>
  </si>
  <si>
    <t>Prevenir/Tratar/Evitar</t>
  </si>
  <si>
    <t>VALOR</t>
  </si>
  <si>
    <t>NIVEL RIESGO</t>
  </si>
  <si>
    <t>Evaluación</t>
  </si>
  <si>
    <t>RIESGO INHERENTE</t>
  </si>
  <si>
    <t>CONTROLES</t>
  </si>
  <si>
    <t>CLASE DEL CONTROL</t>
  </si>
  <si>
    <t>Actividades de control</t>
  </si>
  <si>
    <t>Políticas</t>
  </si>
  <si>
    <t>Procedimientos</t>
  </si>
  <si>
    <t>Plan/Programa</t>
  </si>
  <si>
    <t>Preventivo</t>
  </si>
  <si>
    <t>Detectivo</t>
  </si>
  <si>
    <t>Correctivo</t>
  </si>
  <si>
    <t>TIPO DE CONTROL</t>
  </si>
  <si>
    <t>PERIODICIDAD</t>
  </si>
  <si>
    <t>Continuo</t>
  </si>
  <si>
    <t>Mensual</t>
  </si>
  <si>
    <t>Semestral</t>
  </si>
  <si>
    <t>Anual</t>
  </si>
  <si>
    <t>Cada vez que se requiera</t>
  </si>
  <si>
    <t>Trimestral</t>
  </si>
  <si>
    <t>FORMA DE APLICACIÓN</t>
  </si>
  <si>
    <t>Manual</t>
  </si>
  <si>
    <t>Combinado</t>
  </si>
  <si>
    <t>PROPETARIO</t>
  </si>
  <si>
    <t>Contador</t>
  </si>
  <si>
    <t>Gerencias</t>
  </si>
  <si>
    <t>Oficial de cumplimiento</t>
  </si>
  <si>
    <t>Director Financiero</t>
  </si>
  <si>
    <t>Director de Recursos humanos</t>
  </si>
  <si>
    <t>Asamblea de Accionistas</t>
  </si>
  <si>
    <t>Adecuado</t>
  </si>
  <si>
    <t>Parcialmente Adecuado</t>
  </si>
  <si>
    <t>Inadecuado</t>
  </si>
  <si>
    <t>EFECTIVIDAD</t>
  </si>
  <si>
    <t>Automático</t>
  </si>
  <si>
    <t>*</t>
  </si>
  <si>
    <t>Semanal</t>
  </si>
  <si>
    <t>Diario</t>
  </si>
  <si>
    <t>Quincenal</t>
  </si>
  <si>
    <t>DOCUMENTADO</t>
  </si>
  <si>
    <t>APROBADO</t>
  </si>
  <si>
    <t>DIVULGADO</t>
  </si>
  <si>
    <t>FORMALIDAD</t>
  </si>
  <si>
    <t>X</t>
  </si>
  <si>
    <t>TOTAL</t>
  </si>
  <si>
    <t>APLICACIÓN</t>
  </si>
  <si>
    <t>NUNCA</t>
  </si>
  <si>
    <t>SIEMPRE</t>
  </si>
  <si>
    <t>&gt;80</t>
  </si>
  <si>
    <t>&lt;41</t>
  </si>
  <si>
    <t>&gt;79  Y &lt;41</t>
  </si>
  <si>
    <t>CALIFICACIÓN POR CONTROL</t>
  </si>
  <si>
    <t>VALORACION</t>
  </si>
  <si>
    <t>0-19</t>
  </si>
  <si>
    <t>20-40</t>
  </si>
  <si>
    <t>BAJA</t>
  </si>
  <si>
    <t>41-90</t>
  </si>
  <si>
    <t>BUENA</t>
  </si>
  <si>
    <t>91-100</t>
  </si>
  <si>
    <t>EXCELENTE</t>
  </si>
  <si>
    <t>PROBABILIDAD INHERENTE</t>
  </si>
  <si>
    <t>PROBABILIDAD RESIDUAL</t>
  </si>
  <si>
    <t>CALIFICACIÓN CALIDAD DEL CONTROL</t>
  </si>
  <si>
    <t>EFECTO MITIGACIÓN 
(Sobre valoración de riesgo inherente)</t>
  </si>
  <si>
    <t>RANGO DE CALIFICACIÓN
(Calidad del Control)</t>
  </si>
  <si>
    <t>EVALUACIÓN 
(Según score de calificación)</t>
  </si>
  <si>
    <t>MAYOR 91</t>
  </si>
  <si>
    <t xml:space="preserve"> 61 A 90</t>
  </si>
  <si>
    <t xml:space="preserve"> 20 A 60</t>
  </si>
  <si>
    <t xml:space="preserve"> 0 A 19</t>
  </si>
  <si>
    <t>CRÍTICA</t>
  </si>
  <si>
    <t>VALORACIÓN CONSECUENCIA RESIDUAL</t>
  </si>
  <si>
    <t>VALORACIÓN CONSECUENCIA INHERENTE</t>
  </si>
  <si>
    <t>VALORACIÓN CONSECUENCIA</t>
  </si>
  <si>
    <t>RIESGO RESIDUAL</t>
  </si>
  <si>
    <t>NIVEL DE RIESGO</t>
  </si>
  <si>
    <t>VALORACION CONSECUENCIA</t>
  </si>
  <si>
    <t>Casi Cierta</t>
  </si>
  <si>
    <t>Probable</t>
  </si>
  <si>
    <t>Poco Probable</t>
  </si>
  <si>
    <t>Rara</t>
  </si>
  <si>
    <t>Moderada</t>
  </si>
  <si>
    <t>RR</t>
  </si>
  <si>
    <t>RL</t>
  </si>
  <si>
    <t>RC</t>
  </si>
  <si>
    <t>RO</t>
  </si>
  <si>
    <t>IDENTIFICACIÓN DEL RIESGO</t>
  </si>
  <si>
    <t>ANALISIS DEL RIESGO</t>
  </si>
  <si>
    <t>EVALUACION DEL RIESGO</t>
  </si>
  <si>
    <t>INTRODUCCIÓN</t>
  </si>
  <si>
    <t>Norma</t>
  </si>
  <si>
    <t>Metodología</t>
  </si>
  <si>
    <t>Matriz del Riego SAGRILAFT</t>
  </si>
  <si>
    <t>Escenario</t>
  </si>
  <si>
    <t>Factor</t>
  </si>
  <si>
    <t>Tamaño de la empresa</t>
  </si>
  <si>
    <t>Descripción de la actividad de la empresa</t>
  </si>
  <si>
    <t xml:space="preserve">ESCENARIOS DE RIESGOS </t>
  </si>
  <si>
    <t>CPI : Contapartes y Partes Interesadas
C : Canales
P : Productos
J : Jurisdicciones</t>
  </si>
  <si>
    <r>
      <rPr>
        <b/>
        <sz val="14"/>
        <color theme="1"/>
        <rFont val="Candara"/>
        <family val="2"/>
      </rPr>
      <t>NOTA:</t>
    </r>
    <r>
      <rPr>
        <sz val="14"/>
        <color theme="1"/>
        <rFont val="Candara"/>
        <family val="2"/>
      </rPr>
      <t xml:space="preserve"> La definición de los riesgos inherente y residual, riesgos por factor de riesgo  se realizan con el promedio aritmetico de las probabilidades e impactos de cada uno de los riesgos asociados.</t>
    </r>
  </si>
  <si>
    <t>PROMEDIO</t>
  </si>
  <si>
    <t>INCIDENCIA DEL TOTAL DE CONTROLES SOBRE EL RIESGO</t>
  </si>
  <si>
    <t>Consolidado por factor RI</t>
  </si>
  <si>
    <t>PR</t>
  </si>
  <si>
    <t>CR</t>
  </si>
  <si>
    <t>NO</t>
  </si>
  <si>
    <t>SI</t>
  </si>
  <si>
    <t>A DISCRESION</t>
  </si>
  <si>
    <t>Mapas de Calor</t>
  </si>
  <si>
    <t>Consolidado por factor RR</t>
  </si>
  <si>
    <t>DESCRIPCION RIESGO</t>
  </si>
  <si>
    <t>CONSECUENCIA RESIDUAL</t>
  </si>
  <si>
    <t>Canal de Distribución</t>
  </si>
  <si>
    <t>Utilización de estructuras societarias complejas para canalizar fondos provenientes del delito de corrupción (tipologías regionales de gafilat: 2009 - 2016)</t>
  </si>
  <si>
    <t xml:space="preserve">Utilización de figuras societarias y testaferros para el lavado de activos por parte de una organización delictiva dedicada al tráfico de drogas </t>
  </si>
  <si>
    <t>Operar con personas que sean reconocidas como lavadores de activos, terroristas o financiadores del terrorismo que se encuentren referenciadas en listas restrictivas</t>
  </si>
  <si>
    <t>Se vinculan proveedores sin que se pueda establecer la legitimidad de sus actividades o procedencia de sus fondos.</t>
  </si>
  <si>
    <t>Se vinculen proveedores nacionales o extranjeros ubicados en jurisdicciones consideradas como Alto Riesgo</t>
  </si>
  <si>
    <t>Jurisdicción</t>
  </si>
  <si>
    <t>Lavado de activos a través del traslado transfronterizo de dinero  (recopilación de tipologías regionales de gafilat: 2009 - 2016)</t>
  </si>
  <si>
    <t>Realizar transacciones directa o indirectamente a países que se encuentren con algún tipo de sanción o bloqueo por autoridades internacionales.</t>
  </si>
  <si>
    <t>Se vinculen clientes ubicados en jurisdicciones consideradas como de Alto Riesgo</t>
  </si>
  <si>
    <t>Utilización de empresas de fachada para apoyar las actividades de lavado de activos – paraísos fiscales. (recopilación de tipologías regionales de gafilat: 2009 - 2016)</t>
  </si>
  <si>
    <t>Fiducia inmobiliaria recursos ilícitos del constructor (recopilación de tipologías regionales de gafilat: 2009 - 2016)</t>
  </si>
  <si>
    <t>Lavado de activos a través de negocios de fachada y el uso de testaferros (recopilación de tipologías regionales de gafilat: 2009 - 2016)</t>
  </si>
  <si>
    <t>Contrapartes (Clientes, Proveedores, Empleados, Accionistas, Vinculados) y Partes interesadas.</t>
  </si>
  <si>
    <t>No.</t>
  </si>
  <si>
    <t>PROCESOS</t>
  </si>
  <si>
    <t>Proceso 1</t>
  </si>
  <si>
    <t>Proceso 2</t>
  </si>
  <si>
    <t>Proceso 3</t>
  </si>
  <si>
    <t>Proceso 4</t>
  </si>
  <si>
    <t>Proceso 5</t>
  </si>
  <si>
    <t>Proceso 6</t>
  </si>
  <si>
    <t>Proceso 7</t>
  </si>
  <si>
    <t>Proceso 8</t>
  </si>
  <si>
    <t>Proceso 9</t>
  </si>
  <si>
    <t>Proceso 10</t>
  </si>
  <si>
    <t>Proceso 11</t>
  </si>
  <si>
    <t>Proceso 12</t>
  </si>
  <si>
    <t>Proceso 13</t>
  </si>
  <si>
    <t>Proceso 14</t>
  </si>
  <si>
    <t>Proceso 15</t>
  </si>
  <si>
    <t>Proceso 16</t>
  </si>
  <si>
    <t>Se tiene establecida una política de conocimiento de contrapartes jurídicas.</t>
  </si>
  <si>
    <t>Se tiene un procedimiento de conocimiento de contrapartes jurídicas.</t>
  </si>
  <si>
    <t>Debida deligencia de conocimiento del cliente</t>
  </si>
  <si>
    <t>Consultas en  Listas restrictivas y publicas</t>
  </si>
  <si>
    <t>Programa de seguimiento de controles de informacion de las contrapartes</t>
  </si>
  <si>
    <t xml:space="preserve">Se tiene establecida una política de conocimiento del cliente y contrapartes.  </t>
  </si>
  <si>
    <t xml:space="preserve">Se tiene un procedimiento de conocimiento del cliente y contrapartes.  </t>
  </si>
  <si>
    <t xml:space="preserve">Verificar el cumplimiento de la política y procedimiento de conocimiento del cliente y contrapartes. </t>
  </si>
  <si>
    <t>Se tiene establecida una política de conocimiento del cliente.</t>
  </si>
  <si>
    <t>Verificar el cumplimiento de la política y procedimiento de conocimiento del cliente</t>
  </si>
  <si>
    <t>Se tiene un procedimiento de conocimiento del cliente y contrapartes que incluye la verificación de la información suministrada.</t>
  </si>
  <si>
    <t>Se tiene establecido un formulario de conocimiento de proveedores con un campo para la identificación del país (jurisdicciones).</t>
  </si>
  <si>
    <t>Se tiene establecida una política de no aceptación de proveedores de países incluidos en la lista de GAFI como no  cooperantes o sancionados por Naciones Unidas.</t>
  </si>
  <si>
    <t>Política internas de inversión</t>
  </si>
  <si>
    <t>Consulta en lístas  restrictivas y propias.</t>
  </si>
  <si>
    <t>Consultas en  Listas paises sancionados</t>
  </si>
  <si>
    <t>Analisis del mercado y condiciones de negociaciones, especialmente del exterior</t>
  </si>
  <si>
    <t>Se tiene establecido un formulario de conocimiento de clientes  con un campo para la identificación del país (jurisdicciones).</t>
  </si>
  <si>
    <t>Se tiene establecida una política de no aceptación de clientes de países incluidos en la lista de GAFI como no  cooperantes o sancionados por Naciones Unidas.</t>
  </si>
  <si>
    <t>Proceso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</si>
  <si>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</si>
  <si>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</si>
  <si>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</si>
  <si>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</si>
  <si>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</si>
  <si>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</si>
  <si>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</si>
  <si>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</si>
  <si>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</si>
  <si>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</si>
  <si>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</si>
  <si>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</si>
  <si>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</si>
  <si>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</si>
  <si>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</si>
  <si>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</si>
  <si>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Mapa de Riesgos</t>
  </si>
  <si>
    <t>Nivel</t>
  </si>
  <si>
    <t>Extremo</t>
  </si>
  <si>
    <t>Descripción</t>
  </si>
  <si>
    <t>Severidad</t>
  </si>
  <si>
    <t>Casi cierta</t>
  </si>
  <si>
    <t>Muy Bajo</t>
  </si>
  <si>
    <t>Medio</t>
  </si>
  <si>
    <t>Alto</t>
  </si>
  <si>
    <t>Bajo</t>
  </si>
  <si>
    <t>Impacto</t>
  </si>
  <si>
    <t>llave</t>
  </si>
  <si>
    <t>Riesgo inherente por Riesgo Asociado</t>
  </si>
  <si>
    <t>IMPACTO</t>
  </si>
  <si>
    <t>Promedio</t>
  </si>
  <si>
    <t>No Aplica</t>
  </si>
  <si>
    <t>Riesgo Reputacional</t>
  </si>
  <si>
    <t>Riesgo Legal</t>
  </si>
  <si>
    <t>Riesgo de Contagio</t>
  </si>
  <si>
    <t>Riesgo Operativo</t>
  </si>
  <si>
    <t xml:space="preserve">CIMENTO INMUEBLES COMERCIALES S.A.S </t>
  </si>
  <si>
    <t>Escenarios de riesgos tipo y propios de la Empresa.</t>
  </si>
  <si>
    <t xml:space="preserve">Pago de facturas a un tercero sin verificar listas de control. </t>
  </si>
  <si>
    <t>Utilización de servicios de remesas y cambio de divisas, formales e informales y trasiego físico de dinero en efectivo (recopilación de tipologías regionales de gafilat: 2009 - 2016)</t>
  </si>
  <si>
    <t xml:space="preserve">No se realiza la consulta en listas de control periodicamente a proveedores que ya se encuentran vinculados </t>
  </si>
  <si>
    <t>A los proveedores vinculados no se les realiza anualmente actualización de la información.</t>
  </si>
  <si>
    <t>Se reciban prepagos de arrendamientos sin verificar el origen de los fondos.</t>
  </si>
  <si>
    <t>No se realiza un adecuado conocimiento del cliente / beneficiario final.</t>
  </si>
  <si>
    <t>No se realiza la calificación o score de riesgo LA/FT/FPADM de los clientes previa vinculación</t>
  </si>
  <si>
    <t>Invertir en activos que hayan sido adquiridos con dinero proveniente de actividades de LA/FT/FPADM.</t>
  </si>
  <si>
    <t>Operar con personas que presentan documentación falsa para realizar operaciones de LA/FT/FPADM.</t>
  </si>
  <si>
    <t>Se creen productos o nuevas líneas de negocio sin un análisis previo de su vulnerabilidad por parte del Oficial de Cumplimiento de impacto frente al riesgo de LA/FT/FPADM.</t>
  </si>
  <si>
    <t>Financiero</t>
  </si>
  <si>
    <t>Gestión Humana</t>
  </si>
  <si>
    <t>Comercial</t>
  </si>
  <si>
    <t>Jurídica</t>
  </si>
  <si>
    <t>Nuevos desarrollos</t>
  </si>
  <si>
    <t>Operaciones</t>
  </si>
  <si>
    <t>publicidad</t>
  </si>
  <si>
    <t>Verificación de la persona natural y/o jurídica en listas vinculantes, inhibitorias y restrictivas.</t>
  </si>
  <si>
    <t>Solicitud de la información requerida en el proceso normal de vinculación de terceros  para verificación de la información</t>
  </si>
  <si>
    <t>Política financiera</t>
  </si>
  <si>
    <t>Formato de concesión de espacios para conocimiento del cliente</t>
  </si>
  <si>
    <t>Política interna SAGRILAFT</t>
  </si>
  <si>
    <t>NIVEL</t>
  </si>
  <si>
    <t>DESCRIPTOR</t>
  </si>
  <si>
    <t>RIESGO LEGAL</t>
  </si>
  <si>
    <t>RIESGO REPUTACIONAL</t>
  </si>
  <si>
    <t>RIESGO DE CONTAGIO</t>
  </si>
  <si>
    <t>RIESGO OPERATIVO</t>
  </si>
  <si>
    <t>Efecto reputacional de un empleado involucrado en alguna actividad de LA/FT.</t>
  </si>
  <si>
    <t>Insuficiencias en procesos</t>
  </si>
  <si>
    <t>Efecto reputacional de un directivo involucrado en alguna actividad de LA/FT.</t>
  </si>
  <si>
    <t>Insuficiencias en procesos y recursos</t>
  </si>
  <si>
    <t>Critica de organismo de control o clientes en medio masivo de comunicación</t>
  </si>
  <si>
    <t>Insuficiencias en procesos, recursos e infraestructura o tecnología</t>
  </si>
  <si>
    <t>Investigación por organismo regulador dado a conocer al público en medios informativos masivos y/o principales noticias nacionales</t>
  </si>
  <si>
    <t>Muy Alto</t>
  </si>
  <si>
    <t>Perdida de confianza por parte del público. Intervención de organismo gubernamental</t>
  </si>
  <si>
    <t>Criterios para evaluar los riesgos asociados</t>
  </si>
  <si>
    <t>Llamado de atención del regulador</t>
  </si>
  <si>
    <t>Solicitud de correciones al Sagrilaft por parte del regulador</t>
  </si>
  <si>
    <t xml:space="preserve">Multa </t>
  </si>
  <si>
    <t>Multa para el representante legale o revisores fiscales.</t>
  </si>
  <si>
    <t>Llamado de atención al representante legal, Auditor y/o revisor Fiscal.</t>
  </si>
  <si>
    <t>Critica menor no pública por el regulador.</t>
  </si>
  <si>
    <t>Critica mayor no pública por el regulador.</t>
  </si>
  <si>
    <t>Efecto reputacional de un miembro del consejo Directivo involucrado en alguna actividad de LA/FT.</t>
  </si>
  <si>
    <t>Efecto reputacional de un proveedor involucrado en alguna actividad de LA/FT.</t>
  </si>
  <si>
    <t>Efecto reputacional de una contraparte involucrada en alguna actividad de LA/FT.</t>
  </si>
  <si>
    <t>Insuficiencias en procesos, recursos e infraestructura o tecnología, con impacto medio en el PyG</t>
  </si>
  <si>
    <t>Insuficiencias en procesos, recursos e infraestructura o tecnología, con impacto alto en el PyG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</si>
</sst>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2"/>
      <color theme="1" tint="0.499984740745262"/>
      <name val="Candara"/>
      <family val="2"/>
    </font>
    <font>
      <sz val="12"/>
      <name val="Candara"/>
      <family val="2"/>
    </font>
    <font>
      <sz val="11"/>
      <color rgb="FF9C5700"/>
      <name val="Calibri"/>
      <family val="2"/>
      <scheme val="minor"/>
    </font>
    <font>
      <sz val="14"/>
      <color theme="1"/>
      <name val="Candara"/>
      <family val="2"/>
    </font>
    <font>
      <b/>
      <sz val="14"/>
      <color theme="1"/>
      <name val="Candara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theme="0"/>
      </right>
      <top style="medium">
        <color theme="0"/>
      </top>
      <bottom style="thick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theme="0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/>
      <bottom style="thick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/>
      <top style="thin">
        <color indexed="64"/>
      </top>
      <bottom/>
      <diagonal/>
    </border>
    <border>
      <left style="double">
        <color theme="0"/>
      </left>
      <right/>
      <top/>
      <bottom style="thin">
        <color indexed="64"/>
      </bottom>
      <diagonal/>
    </border>
    <border>
      <left/>
      <right style="double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double">
        <color theme="0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21" fillId="8" borderId="0" applyNumberFormat="0" applyBorder="0" applyAlignment="0" applyProtection="0"/>
    <xf numFmtId="0" fontId="1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</cellStyleXfs>
  <cellXfs count="329">
    <xf numFmtId="0" fontId="0" fillId="0" borderId="0" xfId="0"/>
    <xf numFmtId="0" fontId="7" fillId="0" borderId="17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9" fontId="7" fillId="0" borderId="18" xfId="2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9" fontId="7" fillId="0" borderId="20" xfId="3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9" fontId="7" fillId="0" borderId="23" xfId="3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4" fillId="2" borderId="0" xfId="1" applyFill="1"/>
    <xf numFmtId="0" fontId="0" fillId="2" borderId="0" xfId="0" applyFill="1"/>
    <xf numFmtId="0" fontId="12" fillId="2" borderId="0" xfId="0" applyFont="1" applyFill="1"/>
    <xf numFmtId="0" fontId="14" fillId="2" borderId="0" xfId="0" applyFont="1" applyFill="1"/>
    <xf numFmtId="0" fontId="0" fillId="2" borderId="13" xfId="0" applyFill="1" applyBorder="1"/>
    <xf numFmtId="0" fontId="0" fillId="0" borderId="13" xfId="0" applyBorder="1"/>
    <xf numFmtId="0" fontId="2" fillId="10" borderId="13" xfId="6" applyBorder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13" xfId="0" applyFill="1" applyBorder="1" applyAlignment="1"/>
    <xf numFmtId="0" fontId="2" fillId="2" borderId="0" xfId="6" applyFill="1" applyBorder="1"/>
    <xf numFmtId="0" fontId="0" fillId="6" borderId="13" xfId="0" applyFill="1" applyBorder="1"/>
    <xf numFmtId="0" fontId="0" fillId="3" borderId="13" xfId="0" applyFill="1" applyBorder="1"/>
    <xf numFmtId="0" fontId="0" fillId="4" borderId="13" xfId="0" applyFill="1" applyBorder="1"/>
    <xf numFmtId="0" fontId="0" fillId="5" borderId="13" xfId="0" applyFill="1" applyBorder="1"/>
    <xf numFmtId="0" fontId="2" fillId="10" borderId="13" xfId="6" applyBorder="1" applyAlignment="1">
      <alignment horizontal="center"/>
    </xf>
    <xf numFmtId="0" fontId="0" fillId="0" borderId="13" xfId="0" applyBorder="1" applyAlignment="1">
      <alignment wrapText="1"/>
    </xf>
    <xf numFmtId="1" fontId="10" fillId="0" borderId="13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 wrapText="1"/>
    </xf>
    <xf numFmtId="1" fontId="8" fillId="2" borderId="13" xfId="1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/>
    </xf>
    <xf numFmtId="0" fontId="0" fillId="0" borderId="38" xfId="0" applyBorder="1"/>
    <xf numFmtId="0" fontId="24" fillId="0" borderId="0" xfId="0" applyFont="1"/>
    <xf numFmtId="0" fontId="0" fillId="0" borderId="13" xfId="0" applyFont="1" applyBorder="1" applyAlignment="1">
      <alignment horizontal="center"/>
    </xf>
    <xf numFmtId="1" fontId="5" fillId="0" borderId="13" xfId="1" applyNumberFormat="1" applyFont="1" applyFill="1" applyBorder="1" applyAlignment="1">
      <alignment horizontal="center" vertical="center"/>
    </xf>
    <xf numFmtId="1" fontId="0" fillId="0" borderId="13" xfId="0" applyNumberFormat="1" applyBorder="1"/>
    <xf numFmtId="0" fontId="0" fillId="0" borderId="9" xfId="0" applyBorder="1"/>
    <xf numFmtId="0" fontId="0" fillId="0" borderId="39" xfId="0" applyBorder="1"/>
    <xf numFmtId="0" fontId="0" fillId="0" borderId="39" xfId="0" applyFont="1" applyBorder="1" applyAlignment="1">
      <alignment horizontal="center"/>
    </xf>
    <xf numFmtId="1" fontId="5" fillId="0" borderId="39" xfId="1" applyNumberFormat="1" applyFont="1" applyFill="1" applyBorder="1" applyAlignment="1">
      <alignment horizontal="center" vertical="center"/>
    </xf>
    <xf numFmtId="1" fontId="0" fillId="0" borderId="39" xfId="0" applyNumberFormat="1" applyBorder="1"/>
    <xf numFmtId="0" fontId="0" fillId="0" borderId="40" xfId="0" applyBorder="1"/>
    <xf numFmtId="0" fontId="0" fillId="0" borderId="40" xfId="0" applyFont="1" applyBorder="1" applyAlignment="1">
      <alignment horizontal="center"/>
    </xf>
    <xf numFmtId="1" fontId="5" fillId="0" borderId="40" xfId="1" applyNumberFormat="1" applyFont="1" applyFill="1" applyBorder="1" applyAlignment="1">
      <alignment horizontal="center" vertical="center"/>
    </xf>
    <xf numFmtId="1" fontId="0" fillId="0" borderId="40" xfId="0" applyNumberFormat="1" applyBorder="1"/>
    <xf numFmtId="2" fontId="0" fillId="0" borderId="13" xfId="0" applyNumberFormat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0" borderId="13" xfId="0" applyBorder="1" applyAlignment="1">
      <alignment vertical="center"/>
    </xf>
    <xf numFmtId="0" fontId="14" fillId="10" borderId="13" xfId="6" applyFont="1" applyBorder="1" applyAlignment="1">
      <alignment horizontal="center"/>
    </xf>
    <xf numFmtId="0" fontId="14" fillId="2" borderId="13" xfId="0" applyFont="1" applyFill="1" applyBorder="1"/>
    <xf numFmtId="0" fontId="14" fillId="2" borderId="13" xfId="0" applyFont="1" applyFill="1" applyBorder="1" applyAlignment="1">
      <alignment wrapText="1"/>
    </xf>
    <xf numFmtId="0" fontId="14" fillId="0" borderId="0" xfId="0" applyFont="1"/>
    <xf numFmtId="0" fontId="14" fillId="3" borderId="25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14" fillId="0" borderId="27" xfId="0" applyFont="1" applyBorder="1"/>
    <xf numFmtId="0" fontId="25" fillId="7" borderId="28" xfId="0" applyFont="1" applyFill="1" applyBorder="1" applyAlignment="1">
      <alignment horizontal="center" vertical="center" wrapText="1"/>
    </xf>
    <xf numFmtId="0" fontId="25" fillId="7" borderId="29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1" fontId="14" fillId="2" borderId="0" xfId="0" applyNumberFormat="1" applyFont="1" applyFill="1"/>
    <xf numFmtId="0" fontId="11" fillId="4" borderId="24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right" vertical="center"/>
    </xf>
    <xf numFmtId="0" fontId="0" fillId="0" borderId="3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/>
    <xf numFmtId="0" fontId="12" fillId="9" borderId="0" xfId="5" applyAlignment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Border="1"/>
    <xf numFmtId="0" fontId="0" fillId="11" borderId="9" xfId="0" applyFill="1" applyBorder="1"/>
    <xf numFmtId="0" fontId="0" fillId="11" borderId="40" xfId="0" applyFill="1" applyBorder="1"/>
    <xf numFmtId="0" fontId="0" fillId="11" borderId="13" xfId="0" applyFont="1" applyFill="1" applyBorder="1" applyAlignment="1">
      <alignment horizontal="center"/>
    </xf>
    <xf numFmtId="0" fontId="0" fillId="11" borderId="40" xfId="0" applyFont="1" applyFill="1" applyBorder="1" applyAlignment="1">
      <alignment horizontal="center"/>
    </xf>
    <xf numFmtId="0" fontId="0" fillId="2" borderId="39" xfId="0" applyFill="1" applyBorder="1"/>
    <xf numFmtId="0" fontId="0" fillId="2" borderId="40" xfId="0" applyFill="1" applyBorder="1"/>
    <xf numFmtId="0" fontId="0" fillId="2" borderId="9" xfId="0" applyFill="1" applyBorder="1"/>
    <xf numFmtId="0" fontId="2" fillId="2" borderId="0" xfId="6" applyFill="1"/>
    <xf numFmtId="0" fontId="0" fillId="11" borderId="13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11" borderId="39" xfId="0" applyFont="1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16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5" fillId="10" borderId="13" xfId="6" applyFont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5" fillId="2" borderId="0" xfId="0" applyFont="1" applyFill="1" applyAlignment="1">
      <alignment vertical="center"/>
    </xf>
    <xf numFmtId="0" fontId="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5" borderId="47" xfId="0" applyFill="1" applyBorder="1"/>
    <xf numFmtId="0" fontId="0" fillId="11" borderId="0" xfId="0" applyFill="1" applyBorder="1"/>
    <xf numFmtId="0" fontId="25" fillId="10" borderId="47" xfId="6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16" fillId="2" borderId="0" xfId="0" applyFont="1" applyFill="1" applyBorder="1"/>
    <xf numFmtId="0" fontId="27" fillId="11" borderId="0" xfId="0" applyFont="1" applyFill="1" applyBorder="1"/>
    <xf numFmtId="0" fontId="30" fillId="11" borderId="1" xfId="0" applyFont="1" applyFill="1" applyBorder="1"/>
    <xf numFmtId="0" fontId="30" fillId="11" borderId="2" xfId="0" applyFont="1" applyFill="1" applyBorder="1"/>
    <xf numFmtId="0" fontId="30" fillId="11" borderId="3" xfId="0" applyFont="1" applyFill="1" applyBorder="1"/>
    <xf numFmtId="0" fontId="30" fillId="11" borderId="4" xfId="0" applyFont="1" applyFill="1" applyBorder="1"/>
    <xf numFmtId="0" fontId="30" fillId="11" borderId="0" xfId="0" applyFont="1" applyFill="1" applyBorder="1"/>
    <xf numFmtId="0" fontId="30" fillId="11" borderId="5" xfId="0" applyFont="1" applyFill="1" applyBorder="1"/>
    <xf numFmtId="0" fontId="31" fillId="11" borderId="0" xfId="0" applyFont="1" applyFill="1" applyBorder="1"/>
    <xf numFmtId="0" fontId="30" fillId="11" borderId="6" xfId="0" applyFont="1" applyFill="1" applyBorder="1"/>
    <xf numFmtId="0" fontId="30" fillId="11" borderId="7" xfId="0" applyFont="1" applyFill="1" applyBorder="1"/>
    <xf numFmtId="0" fontId="31" fillId="11" borderId="7" xfId="0" applyFont="1" applyFill="1" applyBorder="1"/>
    <xf numFmtId="0" fontId="30" fillId="11" borderId="8" xfId="0" applyFont="1" applyFill="1" applyBorder="1"/>
    <xf numFmtId="0" fontId="16" fillId="11" borderId="0" xfId="0" applyFont="1" applyFill="1" applyBorder="1"/>
    <xf numFmtId="0" fontId="32" fillId="11" borderId="0" xfId="0" applyFont="1" applyFill="1" applyBorder="1"/>
    <xf numFmtId="0" fontId="32" fillId="2" borderId="0" xfId="0" applyFont="1" applyFill="1" applyBorder="1"/>
    <xf numFmtId="0" fontId="30" fillId="11" borderId="50" xfId="0" applyFont="1" applyFill="1" applyBorder="1"/>
    <xf numFmtId="0" fontId="16" fillId="11" borderId="0" xfId="0" applyFont="1" applyFill="1"/>
    <xf numFmtId="0" fontId="15" fillId="11" borderId="49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6" fillId="11" borderId="1" xfId="0" applyFont="1" applyFill="1" applyBorder="1"/>
    <xf numFmtId="0" fontId="16" fillId="11" borderId="2" xfId="0" applyFont="1" applyFill="1" applyBorder="1"/>
    <xf numFmtId="0" fontId="16" fillId="11" borderId="3" xfId="0" applyFont="1" applyFill="1" applyBorder="1"/>
    <xf numFmtId="0" fontId="16" fillId="11" borderId="4" xfId="0" applyFont="1" applyFill="1" applyBorder="1"/>
    <xf numFmtId="0" fontId="15" fillId="11" borderId="0" xfId="0" applyFont="1" applyFill="1" applyBorder="1"/>
    <xf numFmtId="0" fontId="16" fillId="11" borderId="5" xfId="0" applyFont="1" applyFill="1" applyBorder="1"/>
    <xf numFmtId="0" fontId="18" fillId="11" borderId="0" xfId="0" applyFont="1" applyFill="1" applyBorder="1" applyAlignment="1">
      <alignment wrapText="1"/>
    </xf>
    <xf numFmtId="0" fontId="16" fillId="11" borderId="6" xfId="0" applyFont="1" applyFill="1" applyBorder="1"/>
    <xf numFmtId="0" fontId="18" fillId="11" borderId="7" xfId="0" applyFont="1" applyFill="1" applyBorder="1" applyAlignment="1">
      <alignment wrapText="1"/>
    </xf>
    <xf numFmtId="0" fontId="16" fillId="11" borderId="8" xfId="0" applyFont="1" applyFill="1" applyBorder="1"/>
    <xf numFmtId="0" fontId="4" fillId="11" borderId="0" xfId="1" applyFill="1"/>
    <xf numFmtId="0" fontId="17" fillId="11" borderId="0" xfId="1" applyFont="1" applyFill="1" applyAlignment="1">
      <alignment horizontal="center"/>
    </xf>
    <xf numFmtId="0" fontId="4" fillId="2" borderId="0" xfId="1" applyFill="1" applyAlignment="1">
      <alignment horizontal="right"/>
    </xf>
    <xf numFmtId="0" fontId="4" fillId="11" borderId="0" xfId="1" applyFill="1" applyAlignment="1">
      <alignment horizontal="right"/>
    </xf>
    <xf numFmtId="0" fontId="4" fillId="11" borderId="1" xfId="1" applyFill="1" applyBorder="1"/>
    <xf numFmtId="0" fontId="4" fillId="11" borderId="2" xfId="1" applyFill="1" applyBorder="1" applyAlignment="1">
      <alignment horizontal="right"/>
    </xf>
    <xf numFmtId="0" fontId="17" fillId="11" borderId="2" xfId="1" applyFont="1" applyFill="1" applyBorder="1"/>
    <xf numFmtId="0" fontId="4" fillId="11" borderId="2" xfId="1" applyFill="1" applyBorder="1"/>
    <xf numFmtId="0" fontId="4" fillId="11" borderId="3" xfId="1" applyFill="1" applyBorder="1"/>
    <xf numFmtId="0" fontId="4" fillId="11" borderId="4" xfId="1" applyFill="1" applyBorder="1"/>
    <xf numFmtId="0" fontId="4" fillId="11" borderId="0" xfId="1" applyFill="1" applyBorder="1" applyAlignment="1">
      <alignment horizontal="right"/>
    </xf>
    <xf numFmtId="0" fontId="4" fillId="11" borderId="0" xfId="1" applyFill="1" applyBorder="1"/>
    <xf numFmtId="0" fontId="4" fillId="11" borderId="5" xfId="1" applyFill="1" applyBorder="1"/>
    <xf numFmtId="0" fontId="17" fillId="11" borderId="0" xfId="1" applyFont="1" applyFill="1" applyBorder="1"/>
    <xf numFmtId="0" fontId="17" fillId="11" borderId="0" xfId="1" applyFont="1" applyFill="1" applyBorder="1" applyAlignment="1">
      <alignment horizontal="center"/>
    </xf>
    <xf numFmtId="0" fontId="4" fillId="11" borderId="6" xfId="1" applyFill="1" applyBorder="1"/>
    <xf numFmtId="0" fontId="4" fillId="11" borderId="7" xfId="1" applyFill="1" applyBorder="1" applyAlignment="1">
      <alignment horizontal="right"/>
    </xf>
    <xf numFmtId="0" fontId="4" fillId="11" borderId="7" xfId="1" applyFill="1" applyBorder="1"/>
    <xf numFmtId="0" fontId="4" fillId="11" borderId="7" xfId="1" applyFill="1" applyBorder="1" applyAlignment="1">
      <alignment vertical="center"/>
    </xf>
    <xf numFmtId="0" fontId="4" fillId="11" borderId="8" xfId="1" applyFill="1" applyBorder="1" applyAlignment="1">
      <alignment vertical="center"/>
    </xf>
    <xf numFmtId="0" fontId="17" fillId="11" borderId="48" xfId="1" applyFont="1" applyFill="1" applyBorder="1" applyAlignment="1">
      <alignment horizontal="right"/>
    </xf>
    <xf numFmtId="0" fontId="17" fillId="11" borderId="48" xfId="1" applyFont="1" applyFill="1" applyBorder="1" applyAlignment="1">
      <alignment horizontal="center"/>
    </xf>
    <xf numFmtId="0" fontId="4" fillId="11" borderId="48" xfId="1" applyFill="1" applyBorder="1" applyAlignment="1">
      <alignment horizontal="right" vertical="center"/>
    </xf>
    <xf numFmtId="0" fontId="4" fillId="11" borderId="48" xfId="1" applyFill="1" applyBorder="1" applyAlignment="1">
      <alignment vertical="center" wrapText="1"/>
    </xf>
    <xf numFmtId="0" fontId="18" fillId="11" borderId="48" xfId="0" applyFont="1" applyFill="1" applyBorder="1" applyAlignment="1">
      <alignment vertical="center" wrapText="1"/>
    </xf>
    <xf numFmtId="0" fontId="36" fillId="9" borderId="36" xfId="5" applyFont="1" applyBorder="1" applyAlignment="1">
      <alignment horizontal="center"/>
    </xf>
    <xf numFmtId="0" fontId="36" fillId="9" borderId="36" xfId="5" applyFont="1" applyBorder="1" applyAlignment="1"/>
    <xf numFmtId="0" fontId="36" fillId="9" borderId="37" xfId="5" applyFont="1" applyBorder="1" applyAlignment="1"/>
    <xf numFmtId="0" fontId="37" fillId="2" borderId="0" xfId="0" applyFont="1" applyFill="1"/>
    <xf numFmtId="0" fontId="0" fillId="2" borderId="0" xfId="0" applyFill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11" borderId="13" xfId="0" applyFont="1" applyFill="1" applyBorder="1" applyAlignment="1">
      <alignment vertical="center" wrapText="1"/>
    </xf>
    <xf numFmtId="0" fontId="0" fillId="0" borderId="39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1" fillId="9" borderId="0" xfId="5" applyFont="1" applyBorder="1" applyAlignment="1">
      <alignment horizontal="center"/>
    </xf>
    <xf numFmtId="2" fontId="0" fillId="2" borderId="0" xfId="0" applyNumberFormat="1" applyFill="1"/>
    <xf numFmtId="0" fontId="0" fillId="0" borderId="9" xfId="0" applyBorder="1" applyAlignment="1">
      <alignment horizontal="center" vertical="center"/>
    </xf>
    <xf numFmtId="0" fontId="3" fillId="10" borderId="48" xfId="6" applyFont="1" applyBorder="1" applyAlignment="1">
      <alignment horizontal="center" vertical="center" wrapText="1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15" xfId="0" applyFill="1" applyBorder="1"/>
    <xf numFmtId="0" fontId="0" fillId="2" borderId="34" xfId="0" applyFill="1" applyBorder="1"/>
    <xf numFmtId="0" fontId="0" fillId="2" borderId="16" xfId="0" applyFill="1" applyBorder="1"/>
    <xf numFmtId="0" fontId="0" fillId="2" borderId="30" xfId="0" applyFill="1" applyBorder="1"/>
    <xf numFmtId="0" fontId="0" fillId="2" borderId="35" xfId="0" applyFill="1" applyBorder="1"/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1" fontId="8" fillId="2" borderId="9" xfId="1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35" fillId="10" borderId="56" xfId="6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164" fontId="0" fillId="0" borderId="9" xfId="0" applyNumberFormat="1" applyBorder="1" applyAlignment="1">
      <alignment vertical="center"/>
    </xf>
    <xf numFmtId="1" fontId="10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10" borderId="56" xfId="6" applyFont="1" applyBorder="1" applyAlignment="1">
      <alignment horizontal="center" vertical="center" wrapText="1"/>
    </xf>
    <xf numFmtId="0" fontId="25" fillId="2" borderId="13" xfId="4" applyFont="1" applyFill="1" applyBorder="1" applyAlignment="1">
      <alignment horizontal="center" vertical="center" wrapText="1"/>
    </xf>
    <xf numFmtId="0" fontId="25" fillId="10" borderId="47" xfId="6" applyFont="1" applyBorder="1" applyAlignment="1">
      <alignment horizontal="center" vertical="center" wrapText="1"/>
    </xf>
    <xf numFmtId="0" fontId="2" fillId="10" borderId="13" xfId="6" applyBorder="1" applyAlignment="1">
      <alignment horizontal="center" vertical="center"/>
    </xf>
    <xf numFmtId="0" fontId="2" fillId="2" borderId="0" xfId="6" applyFill="1" applyBorder="1" applyAlignment="1">
      <alignment vertical="center"/>
    </xf>
    <xf numFmtId="0" fontId="3" fillId="2" borderId="13" xfId="0" applyFont="1" applyFill="1" applyBorder="1" applyAlignment="1"/>
    <xf numFmtId="0" fontId="0" fillId="2" borderId="13" xfId="0" applyFill="1" applyBorder="1" applyAlignment="1">
      <alignment horizontal="center"/>
    </xf>
    <xf numFmtId="0" fontId="0" fillId="11" borderId="13" xfId="0" applyFill="1" applyBorder="1" applyAlignment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10" borderId="47" xfId="6" applyBorder="1"/>
    <xf numFmtId="0" fontId="3" fillId="10" borderId="13" xfId="6" applyFont="1" applyBorder="1" applyAlignment="1">
      <alignment horizontal="center"/>
    </xf>
    <xf numFmtId="2" fontId="0" fillId="2" borderId="0" xfId="0" applyNumberFormat="1" applyFill="1" applyBorder="1" applyAlignment="1">
      <alignment horizontal="center" vertical="center"/>
    </xf>
    <xf numFmtId="0" fontId="39" fillId="2" borderId="57" xfId="0" applyFont="1" applyFill="1" applyBorder="1"/>
    <xf numFmtId="0" fontId="39" fillId="2" borderId="58" xfId="0" applyFont="1" applyFill="1" applyBorder="1" applyAlignment="1">
      <alignment horizontal="center"/>
    </xf>
    <xf numFmtId="0" fontId="39" fillId="2" borderId="59" xfId="0" applyFont="1" applyFill="1" applyBorder="1"/>
    <xf numFmtId="0" fontId="39" fillId="2" borderId="41" xfId="0" applyFont="1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39" fillId="2" borderId="57" xfId="0" applyFont="1" applyFill="1" applyBorder="1" applyAlignment="1">
      <alignment horizontal="center"/>
    </xf>
    <xf numFmtId="0" fontId="39" fillId="2" borderId="59" xfId="0" applyFont="1" applyFill="1" applyBorder="1" applyAlignment="1">
      <alignment horizontal="center"/>
    </xf>
    <xf numFmtId="0" fontId="12" fillId="9" borderId="5" xfId="5" applyBorder="1" applyAlignment="1"/>
    <xf numFmtId="0" fontId="39" fillId="2" borderId="68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3" fillId="10" borderId="0" xfId="6" applyFont="1" applyAlignment="1">
      <alignment horizontal="center"/>
    </xf>
    <xf numFmtId="0" fontId="3" fillId="10" borderId="47" xfId="6" applyFont="1" applyBorder="1" applyAlignment="1">
      <alignment horizontal="center"/>
    </xf>
    <xf numFmtId="0" fontId="3" fillId="10" borderId="30" xfId="6" applyFont="1" applyBorder="1" applyAlignment="1">
      <alignment horizontal="center"/>
    </xf>
    <xf numFmtId="0" fontId="3" fillId="10" borderId="5" xfId="6" applyFont="1" applyBorder="1"/>
    <xf numFmtId="0" fontId="3" fillId="10" borderId="0" xfId="6" applyFont="1"/>
    <xf numFmtId="0" fontId="28" fillId="11" borderId="0" xfId="0" applyFont="1" applyFill="1" applyBorder="1" applyAlignment="1"/>
    <xf numFmtId="0" fontId="40" fillId="11" borderId="0" xfId="0" applyFont="1" applyFill="1" applyBorder="1" applyAlignment="1"/>
    <xf numFmtId="0" fontId="18" fillId="11" borderId="0" xfId="0" applyFont="1" applyFill="1" applyBorder="1" applyAlignment="1">
      <alignment vertical="justify"/>
    </xf>
    <xf numFmtId="0" fontId="18" fillId="11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1" fillId="11" borderId="51" xfId="0" applyFont="1" applyFill="1" applyBorder="1" applyAlignment="1">
      <alignment horizontal="left"/>
    </xf>
    <xf numFmtId="0" fontId="31" fillId="11" borderId="52" xfId="0" applyFont="1" applyFill="1" applyBorder="1" applyAlignment="1">
      <alignment horizontal="left"/>
    </xf>
    <xf numFmtId="0" fontId="33" fillId="11" borderId="0" xfId="0" applyFont="1" applyFill="1" applyBorder="1" applyAlignment="1">
      <alignment horizontal="center"/>
    </xf>
    <xf numFmtId="0" fontId="29" fillId="11" borderId="0" xfId="0" applyFont="1" applyFill="1" applyBorder="1" applyAlignment="1">
      <alignment horizontal="center"/>
    </xf>
    <xf numFmtId="0" fontId="17" fillId="11" borderId="50" xfId="1" applyFont="1" applyFill="1" applyBorder="1" applyAlignment="1">
      <alignment horizontal="center"/>
    </xf>
    <xf numFmtId="0" fontId="17" fillId="11" borderId="52" xfId="1" applyFont="1" applyFill="1" applyBorder="1" applyAlignment="1">
      <alignment horizontal="center"/>
    </xf>
    <xf numFmtId="0" fontId="4" fillId="11" borderId="0" xfId="1" applyFill="1" applyBorder="1" applyAlignment="1">
      <alignment horizontal="left" wrapText="1"/>
    </xf>
    <xf numFmtId="0" fontId="1" fillId="9" borderId="36" xfId="5" applyFont="1" applyBorder="1" applyAlignment="1">
      <alignment horizontal="center"/>
    </xf>
    <xf numFmtId="0" fontId="2" fillId="10" borderId="13" xfId="6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10" borderId="47" xfId="6" applyBorder="1" applyAlignment="1">
      <alignment horizontal="center" vertical="center"/>
    </xf>
    <xf numFmtId="0" fontId="2" fillId="10" borderId="9" xfId="6" applyBorder="1" applyAlignment="1">
      <alignment horizontal="center" vertical="center"/>
    </xf>
    <xf numFmtId="0" fontId="29" fillId="0" borderId="13" xfId="0" applyFont="1" applyBorder="1" applyAlignment="1">
      <alignment horizontal="center"/>
    </xf>
    <xf numFmtId="0" fontId="25" fillId="10" borderId="41" xfId="6" applyFont="1" applyBorder="1" applyAlignment="1">
      <alignment horizontal="center" vertical="center"/>
    </xf>
    <xf numFmtId="0" fontId="25" fillId="10" borderId="42" xfId="6" applyFont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" fontId="5" fillId="0" borderId="39" xfId="1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5" fillId="0" borderId="40" xfId="1" applyNumberFormat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1" fontId="26" fillId="2" borderId="0" xfId="1" applyNumberFormat="1" applyFont="1" applyFill="1" applyBorder="1" applyAlignment="1">
      <alignment horizontal="center" vertical="center"/>
    </xf>
    <xf numFmtId="0" fontId="12" fillId="9" borderId="64" xfId="5" applyBorder="1" applyAlignment="1">
      <alignment horizontal="center"/>
    </xf>
    <xf numFmtId="0" fontId="12" fillId="9" borderId="62" xfId="5" applyBorder="1" applyAlignment="1">
      <alignment horizontal="center"/>
    </xf>
    <xf numFmtId="0" fontId="3" fillId="10" borderId="36" xfId="6" applyFont="1" applyBorder="1" applyAlignment="1">
      <alignment horizontal="center"/>
    </xf>
    <xf numFmtId="0" fontId="3" fillId="10" borderId="66" xfId="6" applyFont="1" applyBorder="1" applyAlignment="1">
      <alignment horizontal="center"/>
    </xf>
    <xf numFmtId="0" fontId="2" fillId="10" borderId="15" xfId="6" applyBorder="1" applyAlignment="1">
      <alignment horizontal="center" vertical="center" wrapText="1"/>
    </xf>
    <xf numFmtId="0" fontId="2" fillId="10" borderId="16" xfId="6" applyBorder="1" applyAlignment="1">
      <alignment horizontal="center" vertical="center" wrapText="1"/>
    </xf>
    <xf numFmtId="0" fontId="2" fillId="10" borderId="10" xfId="6" applyBorder="1" applyAlignment="1">
      <alignment horizontal="center" vertical="center" wrapText="1"/>
    </xf>
    <xf numFmtId="0" fontId="2" fillId="10" borderId="14" xfId="6" applyBorder="1" applyAlignment="1">
      <alignment horizontal="center" vertical="center" wrapText="1"/>
    </xf>
    <xf numFmtId="0" fontId="12" fillId="9" borderId="11" xfId="5" applyBorder="1" applyAlignment="1">
      <alignment horizontal="center" vertical="center"/>
    </xf>
    <xf numFmtId="0" fontId="12" fillId="9" borderId="12" xfId="5" applyBorder="1" applyAlignment="1">
      <alignment horizontal="center" vertical="center"/>
    </xf>
    <xf numFmtId="0" fontId="2" fillId="10" borderId="0" xfId="6" applyBorder="1" applyAlignment="1">
      <alignment horizontal="center"/>
    </xf>
    <xf numFmtId="0" fontId="12" fillId="9" borderId="61" xfId="5" applyBorder="1" applyAlignment="1">
      <alignment horizontal="center"/>
    </xf>
    <xf numFmtId="0" fontId="12" fillId="9" borderId="67" xfId="5" applyBorder="1" applyAlignment="1">
      <alignment horizontal="center"/>
    </xf>
    <xf numFmtId="0" fontId="3" fillId="10" borderId="65" xfId="6" applyFont="1" applyBorder="1" applyAlignment="1">
      <alignment horizontal="center"/>
    </xf>
    <xf numFmtId="0" fontId="3" fillId="10" borderId="60" xfId="6" applyFont="1" applyBorder="1" applyAlignment="1">
      <alignment horizontal="center"/>
    </xf>
    <xf numFmtId="0" fontId="3" fillId="10" borderId="27" xfId="6" applyFont="1" applyBorder="1" applyAlignment="1">
      <alignment horizontal="center"/>
    </xf>
    <xf numFmtId="0" fontId="36" fillId="9" borderId="13" xfId="5" applyFont="1" applyBorder="1" applyAlignment="1">
      <alignment horizontal="center"/>
    </xf>
    <xf numFmtId="0" fontId="36" fillId="9" borderId="36" xfId="5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0" fillId="2" borderId="31" xfId="0" applyFont="1" applyFill="1" applyBorder="1" applyAlignment="1">
      <alignment horizontal="left" vertical="top" wrapText="1"/>
    </xf>
    <xf numFmtId="0" fontId="19" fillId="2" borderId="32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34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35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right" vertical="center" textRotation="90"/>
    </xf>
    <xf numFmtId="0" fontId="14" fillId="0" borderId="0" xfId="0" applyFont="1" applyAlignment="1">
      <alignment horizontal="center" vertical="top"/>
    </xf>
    <xf numFmtId="0" fontId="12" fillId="9" borderId="36" xfId="5" applyBorder="1" applyAlignment="1">
      <alignment horizontal="center"/>
    </xf>
    <xf numFmtId="0" fontId="15" fillId="11" borderId="0" xfId="0" applyFont="1" applyFill="1" applyAlignment="1">
      <alignment horizontal="center" vertical="center" wrapText="1"/>
    </xf>
    <xf numFmtId="0" fontId="16" fillId="11" borderId="48" xfId="0" applyFont="1" applyFill="1" applyBorder="1" applyAlignment="1">
      <alignment vertical="center" wrapText="1"/>
    </xf>
    <xf numFmtId="0" fontId="0" fillId="11" borderId="0" xfId="0" applyFill="1" applyAlignment="1">
      <alignment vertical="center" wrapText="1"/>
    </xf>
    <xf numFmtId="0" fontId="15" fillId="11" borderId="69" xfId="0" applyFont="1" applyFill="1" applyBorder="1" applyAlignment="1">
      <alignment vertical="center" wrapText="1"/>
    </xf>
    <xf numFmtId="0" fontId="15" fillId="11" borderId="70" xfId="0" applyFont="1" applyFill="1" applyBorder="1" applyAlignment="1">
      <alignment vertical="center" wrapText="1"/>
    </xf>
    <xf numFmtId="0" fontId="15" fillId="11" borderId="71" xfId="0" applyFont="1" applyFill="1" applyBorder="1" applyAlignment="1">
      <alignment vertical="center" wrapText="1"/>
    </xf>
    <xf numFmtId="0" fontId="16" fillId="11" borderId="72" xfId="0" applyFont="1" applyFill="1" applyBorder="1" applyAlignment="1">
      <alignment vertical="center" wrapText="1"/>
    </xf>
    <xf numFmtId="0" fontId="16" fillId="11" borderId="73" xfId="0" applyFont="1" applyFill="1" applyBorder="1" applyAlignment="1">
      <alignment vertical="center" wrapText="1"/>
    </xf>
    <xf numFmtId="0" fontId="16" fillId="11" borderId="74" xfId="0" applyFont="1" applyFill="1" applyBorder="1" applyAlignment="1">
      <alignment vertical="center" wrapText="1"/>
    </xf>
    <xf numFmtId="0" fontId="16" fillId="11" borderId="75" xfId="0" applyFont="1" applyFill="1" applyBorder="1" applyAlignment="1">
      <alignment vertical="center" wrapText="1"/>
    </xf>
    <xf numFmtId="0" fontId="16" fillId="11" borderId="76" xfId="0" applyFont="1" applyFill="1" applyBorder="1" applyAlignment="1">
      <alignment vertical="center" wrapText="1"/>
    </xf>
  </cellXfs>
  <cellStyles count="8">
    <cellStyle name="60% - Énfasis1" xfId="6" builtinId="32"/>
    <cellStyle name="Énfasis1" xfId="5" builtinId="29"/>
    <cellStyle name="Neutral" xfId="4" builtinId="28"/>
    <cellStyle name="Normal" xfId="0" builtinId="0"/>
    <cellStyle name="Normal 2" xfId="1"/>
    <cellStyle name="Normal 2 2" xfId="2"/>
    <cellStyle name="Normal 5 2 5" xfId="7"/>
    <cellStyle name="Porcentual 3" xfId="3"/>
  </cellStyles>
  <dxfs count="1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ont>
        <color theme="1"/>
      </font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6969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INHERENTE POR FACTOR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0"/>
          <c:order val="0"/>
          <c:tx>
            <c:v>CP</c:v>
          </c:tx>
          <c:spPr>
            <a:ln w="285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'CONSOLIDADOXFACTOR RI'!$C$2</c:f>
              <c:numCache>
                <c:formatCode>0.00</c:formatCode>
                <c:ptCount val="1"/>
                <c:pt idx="0">
                  <c:v>4.166666666666667</c:v>
                </c:pt>
              </c:numCache>
            </c:numRef>
          </c:xVal>
          <c:yVal>
            <c:numRef>
              <c:f>'CONSOLIDADOXFACTOR RI'!$B$2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9-08BB-4D12-A526-D43A50A21129}"/>
            </c:ext>
          </c:extLst>
        </c:ser>
        <c:ser>
          <c:idx val="1"/>
          <c:order val="1"/>
          <c:tx>
            <c:v>P</c:v>
          </c:tx>
          <c:spPr>
            <a:solidFill>
              <a:schemeClr val="accent3">
                <a:lumMod val="50000"/>
              </a:schemeClr>
            </a:solidFill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'CONSOLIDADOXFACTOR RI'!$C$3</c:f>
              <c:numCache>
                <c:formatCode>0.00</c:formatCode>
                <c:ptCount val="1"/>
                <c:pt idx="0">
                  <c:v>4.333333333333333</c:v>
                </c:pt>
              </c:numCache>
            </c:numRef>
          </c:xVal>
          <c:yVal>
            <c:numRef>
              <c:f>'CONSOLIDADOXFACTOR RI'!$B$3</c:f>
              <c:numCache>
                <c:formatCode>0.00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B-08BB-4D12-A526-D43A50A21129}"/>
            </c:ext>
          </c:extLst>
        </c:ser>
        <c:ser>
          <c:idx val="2"/>
          <c:order val="2"/>
          <c:tx>
            <c:v>C</c:v>
          </c:tx>
          <c:spPr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'CONSOLIDADOXFACTOR RI'!$C$4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'CONSOLIDADOXFACTOR RI'!$B$4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D-08BB-4D12-A526-D43A50A21129}"/>
            </c:ext>
          </c:extLst>
        </c:ser>
        <c:ser>
          <c:idx val="3"/>
          <c:order val="3"/>
          <c:tx>
            <c:v>J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'CONSOLIDADOXFACTOR RI'!$C$5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'CONSOLIDADOXFACTOR RI'!$B$5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F-08BB-4D12-A526-D43A50A2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254496"/>
        <c:axId val="298254888"/>
      </c:bubbleChart>
      <c:valAx>
        <c:axId val="298254496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 b="1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layout>
            <c:manualLayout>
              <c:xMode val="edge"/>
              <c:yMode val="edge"/>
              <c:x val="0.39477323940268677"/>
              <c:y val="0.9285441688900442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888"/>
        <c:crosses val="autoZero"/>
        <c:crossBetween val="midCat"/>
        <c:majorUnit val="0.5"/>
      </c:valAx>
      <c:valAx>
        <c:axId val="298254888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2.289592287040465E-2"/>
              <c:y val="0.24991864541455378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496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RESIDUAL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012741705839666E-2"/>
          <c:y val="9.8673322868372701E-2"/>
          <c:w val="0.87429977083632382"/>
          <c:h val="0.80337411669695136"/>
        </c:manualLayout>
      </c:layout>
      <c:bubbleChart>
        <c:varyColors val="0"/>
        <c:ser>
          <c:idx val="2"/>
          <c:order val="0"/>
          <c:tx>
            <c:v>RR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5375492611487127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BB669F72-DE07-4E42-9130-6E44ED173DB0}" type="SERIESNAME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4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LA SERIE]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8C-4D08-961C-C00167AD7A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RESIDUAL'!$K$24</c:f>
              <c:numCache>
                <c:formatCode>0.00</c:formatCode>
                <c:ptCount val="1"/>
                <c:pt idx="0">
                  <c:v>1.0952380952380953</c:v>
                </c:pt>
              </c:numCache>
            </c:numRef>
          </c:xVal>
          <c:yVal>
            <c:numRef>
              <c:f>'RIESGO RESIDUAL'!$J$24</c:f>
              <c:numCache>
                <c:formatCode>0.000</c:formatCode>
                <c:ptCount val="1"/>
                <c:pt idx="0">
                  <c:v>1.0952380952380953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5797-4C0C-8CED-E6EBD836E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791784"/>
        <c:axId val="298792176"/>
      </c:bubbleChart>
      <c:valAx>
        <c:axId val="298791784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layout>
            <c:manualLayout>
              <c:xMode val="edge"/>
              <c:yMode val="edge"/>
              <c:x val="0.39692935952973962"/>
              <c:y val="0.9287338842648365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>
            <a:prstDash val="solid"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792176"/>
        <c:crosses val="autoZero"/>
        <c:crossBetween val="midCat"/>
        <c:majorUnit val="0.5"/>
      </c:valAx>
      <c:valAx>
        <c:axId val="298792176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2.5096642856012367E-2"/>
              <c:y val="0.44608654476481902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791784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RESIDUAL POR FACTOR</a:t>
            </a:r>
            <a:r>
              <a:rPr lang="en-US" baseline="0">
                <a:latin typeface="Candara" panose="020E0502030303020204" pitchFamily="34" charset="0"/>
              </a:rPr>
              <a:t> </a:t>
            </a:r>
            <a:endParaRPr lang="en-US">
              <a:latin typeface="Candara" panose="020E0502030303020204" pitchFamily="34" charset="0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0"/>
          <c:order val="0"/>
          <c:tx>
            <c:v>CPI</c:v>
          </c:tx>
          <c:invertIfNegative val="0"/>
          <c:dLbls>
            <c:dLbl>
              <c:idx val="0"/>
              <c:layout>
                <c:manualLayout>
                  <c:x val="-6.3497674580577743E-2"/>
                  <c:y val="-2.5136433627276633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chemeClr val="bg1"/>
                        </a:solidFill>
                      </a:rPr>
                      <a:t>CP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C-406C-8345-A375689F0A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RR'!$C$2</c:f>
              <c:numCache>
                <c:formatCode>0.0000</c:formatCode>
                <c:ptCount val="1"/>
                <c:pt idx="0">
                  <c:v>1.1666666666666667</c:v>
                </c:pt>
              </c:numCache>
            </c:numRef>
          </c:xVal>
          <c:yVal>
            <c:numRef>
              <c:f>'CONSOLIDADOXFACTOR RR'!$B$2</c:f>
              <c:numCache>
                <c:formatCode>0.0000</c:formatCode>
                <c:ptCount val="1"/>
                <c:pt idx="0">
                  <c:v>1.1666666666666667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B63C-406C-8345-A375689F0ABA}"/>
            </c:ext>
          </c:extLst>
        </c:ser>
        <c:ser>
          <c:idx val="1"/>
          <c:order val="1"/>
          <c:tx>
            <c:v>P</c:v>
          </c:tx>
          <c:invertIfNegative val="0"/>
          <c:dLbls>
            <c:dLbl>
              <c:idx val="0"/>
              <c:layout>
                <c:manualLayout>
                  <c:x val="-5.723917283304307E-2"/>
                  <c:y val="-2.5136433627276633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C-406C-8345-A375689F0A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RR'!$C$3</c:f>
              <c:numCache>
                <c:formatCode>0.0000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'CONSOLIDADOXFACTOR RR'!$B$3</c:f>
              <c:numCache>
                <c:formatCode>0.0000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1-B63C-406C-8345-A375689F0ABA}"/>
            </c:ext>
          </c:extLst>
        </c:ser>
        <c:ser>
          <c:idx val="2"/>
          <c:order val="2"/>
          <c:tx>
            <c:v>C</c:v>
          </c:tx>
          <c:invertIfNegative val="0"/>
          <c:dLbls>
            <c:dLbl>
              <c:idx val="0"/>
              <c:layout>
                <c:manualLayout>
                  <c:x val="-7.5557208616281832E-2"/>
                  <c:y val="-4.6178024444614001E-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sz="1400" b="1"/>
                      <a:t>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42385032348313"/>
                      <c:h val="6.74763614032741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DD-41D4-8784-72C6EAAC09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RR'!$C$4</c:f>
              <c:numCache>
                <c:formatCode>0.0000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'CONSOLIDADOXFACTOR RR'!$B$4</c:f>
              <c:numCache>
                <c:formatCode>0.0000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B63C-406C-8345-A375689F0ABA}"/>
            </c:ext>
          </c:extLst>
        </c:ser>
        <c:ser>
          <c:idx val="3"/>
          <c:order val="3"/>
          <c:tx>
            <c:v>J</c:v>
          </c:tx>
          <c:spPr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100710E-F317-4A0D-9C91-82436B8CDE94}" type="SERIESNAME">
                      <a:rPr lang="en-US" b="1">
                        <a:solidFill>
                          <a:sysClr val="windowText" lastClr="000000"/>
                        </a:solidFill>
                      </a:rPr>
                      <a:pPr/>
                      <a:t>[NOMBRE DE LA SERIE]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63C-406C-8345-A375689F0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'CONSOLIDADOXFACTOR RR'!$C$5</c:f>
              <c:numCache>
                <c:formatCode>0.0000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'CONSOLIDADOXFACTOR RR'!$B$5</c:f>
              <c:numCache>
                <c:formatCode>0.0000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B63C-406C-8345-A375689F0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793352"/>
        <c:axId val="298793744"/>
      </c:bubbleChart>
      <c:valAx>
        <c:axId val="298793352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layout>
            <c:manualLayout>
              <c:xMode val="edge"/>
              <c:yMode val="edge"/>
              <c:x val="0.38661256019024798"/>
              <c:y val="0.9397831640504466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793744"/>
        <c:crosses val="autoZero"/>
        <c:crossBetween val="midCat"/>
        <c:majorUnit val="0.5"/>
      </c:valAx>
      <c:valAx>
        <c:axId val="298793744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2.4715148316574693E-2"/>
              <c:y val="0.43186722048884296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793352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INHERENTE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1"/>
          <c:order val="0"/>
          <c:tx>
            <c:v>RI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6528066528066532E-2"/>
                  <c:y val="-2.2341439706094209E-1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390D690-A625-46D6-BDD7-85EA1DF02A60}" type="SERIESNAME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4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LA SERIE]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7E-45E5-A542-402572A7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INHERENTE'!$P$33</c:f>
              <c:numCache>
                <c:formatCode>General</c:formatCode>
                <c:ptCount val="1"/>
                <c:pt idx="0">
                  <c:v>4.333333333333333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4-B4A2-4779-A255-26DE8DED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004104"/>
        <c:axId val="298385344"/>
      </c:bubbleChart>
      <c:valAx>
        <c:axId val="298004104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layout>
            <c:manualLayout>
              <c:xMode val="edge"/>
              <c:yMode val="edge"/>
              <c:x val="0.39563507783980223"/>
              <c:y val="0.914416993944552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385344"/>
        <c:crosses val="autoZero"/>
        <c:crossBetween val="midCat"/>
        <c:majorUnit val="0.5"/>
      </c:valAx>
      <c:valAx>
        <c:axId val="298385344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3.4153911634226597E-2"/>
              <c:y val="0.2518352067170964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004104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INHERENTE POR PROCESO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0083825459317584E-2"/>
          <c:y val="9.3825932152346525E-2"/>
          <c:w val="0.87429977083632382"/>
          <c:h val="0.80337411669695136"/>
        </c:manualLayout>
      </c:layout>
      <c:bubbleChart>
        <c:varyColors val="0"/>
        <c:ser>
          <c:idx val="16"/>
          <c:order val="0"/>
          <c:tx>
            <c:v>P1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FE5DE375-D902-4600-9185-0B1731ED74A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{FE5DE375-D902-4600-9185-0B1731ED74A7}</c15:txfldGUID>
                      <c15:f>'MAPA RIESGO'!$AE$44</c15:f>
                      <c15:dlblFieldTableCache>
                        <c:ptCount val="1"/>
                        <c:pt idx="0">
                          <c:v>P1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RI'!$C$2</c:f>
              <c:numCache>
                <c:formatCode>0.00</c:formatCode>
                <c:ptCount val="1"/>
                <c:pt idx="0">
                  <c:v>4.75</c:v>
                </c:pt>
              </c:numCache>
            </c:numRef>
          </c:xVal>
          <c:yVal>
            <c:numRef>
              <c:f>'CONSOLIDADOXPROCESO RI'!$B$2</c:f>
              <c:numCache>
                <c:formatCode>0.00</c:formatCode>
                <c:ptCount val="1"/>
                <c:pt idx="0">
                  <c:v>4.75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1-6DF1-4837-88E0-287DA6A0DD55}"/>
            </c:ext>
          </c:extLst>
        </c:ser>
        <c:ser>
          <c:idx val="17"/>
          <c:order val="1"/>
          <c:tx>
            <c:v>P2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0833333333333373E-2"/>
                  <c:y val="0"/>
                </c:manualLayout>
              </c:layout>
              <c:tx>
                <c:rich>
                  <a:bodyPr/>
                  <a:lstStyle/>
                  <a:p>
                    <a:fld id="{AEA6DBCE-1894-4D5C-9009-DB5D24919BA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{AEA6DBCE-1894-4D5C-9009-DB5D24919BA1}</c15:txfldGUID>
                      <c15:f>'MAPA RIESGO'!$AE$45</c15:f>
                      <c15:dlblFieldTableCache>
                        <c:ptCount val="1"/>
                        <c:pt idx="0">
                          <c:v>P2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RI'!$C$3</c:f>
            </c:numRef>
          </c:xVal>
          <c:yVal>
            <c:numRef>
              <c:f>'CONSOLIDADOXPROCESO RI'!$B$3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2-6DF1-4837-88E0-287DA6A0DD55}"/>
            </c:ext>
          </c:extLst>
        </c:ser>
        <c:ser>
          <c:idx val="18"/>
          <c:order val="2"/>
          <c:tx>
            <c:strRef>
              <c:f>'MAPA RIESGO'!$AE$46</c:f>
              <c:strCache>
                <c:ptCount val="1"/>
                <c:pt idx="0">
                  <c:v>P3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6C6E8BE8-F2DB-42EF-9A86-20B4283AC6D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{6C6E8BE8-F2DB-42EF-9A86-20B4283AC6D8}</c15:txfldGUID>
                      <c15:f>'MAPA RIESGO'!$AE$46</c15:f>
                      <c15:dlblFieldTableCache>
                        <c:ptCount val="1"/>
                        <c:pt idx="0">
                          <c:v>P3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RI'!$C$4</c:f>
              <c:numCache>
                <c:formatCode>0.00</c:formatCode>
                <c:ptCount val="1"/>
                <c:pt idx="0">
                  <c:v>4</c:v>
                </c:pt>
              </c:numCache>
            </c:numRef>
          </c:xVal>
          <c:yVal>
            <c:numRef>
              <c:f>'CONSOLIDADOXPROCESO RI'!$B$4</c:f>
              <c:numCache>
                <c:formatCode>0.00</c:formatCode>
                <c:ptCount val="1"/>
                <c:pt idx="0">
                  <c:v>4.8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3-6DF1-4837-88E0-287DA6A0DD55}"/>
            </c:ext>
          </c:extLst>
        </c:ser>
        <c:ser>
          <c:idx val="19"/>
          <c:order val="3"/>
          <c:tx>
            <c:v>P4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9EAE0C12-53AC-4D4B-A9D3-349EB37EA95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{9EAE0C12-53AC-4D4B-A9D3-349EB37EA956}</c15:txfldGUID>
                      <c15:f>'MAPA RIESGO'!$AE$47</c15:f>
                      <c15:dlblFieldTableCache>
                        <c:ptCount val="1"/>
                        <c:pt idx="0">
                          <c:v>P4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RI'!$C$5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'CONSOLIDADOXPROCESO RI'!$B$5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4-6DF1-4837-88E0-287DA6A0DD55}"/>
            </c:ext>
          </c:extLst>
        </c:ser>
        <c:ser>
          <c:idx val="20"/>
          <c:order val="4"/>
          <c:tx>
            <c:v>P5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4999999999999997E-2"/>
                  <c:y val="2.4015301718228652E-3"/>
                </c:manualLayout>
              </c:layout>
              <c:tx>
                <c:rich>
                  <a:bodyPr/>
                  <a:lstStyle/>
                  <a:p>
                    <a:fld id="{C3671553-B5D3-40A7-AE44-AC8AC03EB92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{C3671553-B5D3-40A7-AE44-AC8AC03EB928}</c15:txfldGUID>
                      <c15:f>'MAPA RIESGO'!$AE$48</c15:f>
                      <c15:dlblFieldTableCache>
                        <c:ptCount val="1"/>
                        <c:pt idx="0">
                          <c:v>P5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RI'!$C$6</c:f>
              <c:numCache>
                <c:formatCode>0.00</c:formatCode>
                <c:ptCount val="1"/>
                <c:pt idx="0">
                  <c:v>4</c:v>
                </c:pt>
              </c:numCache>
            </c:numRef>
          </c:xVal>
          <c:yVal>
            <c:numRef>
              <c:f>'CONSOLIDADOXPROCESO RI'!$B$6</c:f>
              <c:numCache>
                <c:formatCode>0.00</c:formatCode>
                <c:ptCount val="1"/>
                <c:pt idx="0">
                  <c:v>4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5-6DF1-4837-88E0-287DA6A0DD55}"/>
            </c:ext>
          </c:extLst>
        </c:ser>
        <c:ser>
          <c:idx val="21"/>
          <c:order val="5"/>
          <c:tx>
            <c:v>P6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916666666666671E-2"/>
                  <c:y val="-2.4015301718228652E-3"/>
                </c:manualLayout>
              </c:layout>
              <c:tx>
                <c:rich>
                  <a:bodyPr/>
                  <a:lstStyle/>
                  <a:p>
                    <a:fld id="{9E1B38E1-8338-4CC8-846D-041421019CE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{9E1B38E1-8338-4CC8-846D-041421019CEE}</c15:txfldGUID>
                      <c15:f>'MAPA RIESGO'!$AE$49</c15:f>
                      <c15:dlblFieldTableCache>
                        <c:ptCount val="1"/>
                        <c:pt idx="0">
                          <c:v>P6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RI'!$C$7</c:f>
              <c:numCache>
                <c:formatCode>0.00</c:formatCode>
                <c:ptCount val="1"/>
                <c:pt idx="0">
                  <c:v>4.1428571428571432</c:v>
                </c:pt>
              </c:numCache>
            </c:numRef>
          </c:xVal>
          <c:yVal>
            <c:numRef>
              <c:f>'CONSOLIDADOXPROCESO RI'!$B$7</c:f>
              <c:numCache>
                <c:formatCode>0.00</c:formatCode>
                <c:ptCount val="1"/>
                <c:pt idx="0">
                  <c:v>4.4285714285714288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6-6DF1-4837-88E0-287DA6A0DD55}"/>
            </c:ext>
          </c:extLst>
        </c:ser>
        <c:ser>
          <c:idx val="22"/>
          <c:order val="6"/>
          <c:tx>
            <c:v>P7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65E-2"/>
                  <c:y val="0"/>
                </c:manualLayout>
              </c:layout>
              <c:tx>
                <c:rich>
                  <a:bodyPr/>
                  <a:lstStyle/>
                  <a:p>
                    <a:fld id="{BA29966D-F5B5-49F2-B2D5-9C0EA89CFE8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{BA29966D-F5B5-49F2-B2D5-9C0EA89CFE87}</c15:txfldGUID>
                      <c15:f>'MAPA RIESGO'!$AE$50</c15:f>
                      <c15:dlblFieldTableCache>
                        <c:ptCount val="1"/>
                        <c:pt idx="0">
                          <c:v>P7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RI'!$C$8</c:f>
            </c:numRef>
          </c:xVal>
          <c:yVal>
            <c:numRef>
              <c:f>'CONSOLIDADOXPROCESO RI'!$B$8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7-6DF1-4837-88E0-287DA6A0DD55}"/>
            </c:ext>
          </c:extLst>
        </c:ser>
        <c:ser>
          <c:idx val="23"/>
          <c:order val="7"/>
          <c:tx>
            <c:v>P8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DE4C3ED5-25EF-4A68-90FD-2E9D4BB04C9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{DE4C3ED5-25EF-4A68-90FD-2E9D4BB04C9D}</c15:txfldGUID>
                      <c15:f>'MAPA RIESGO'!$AE$51</c15:f>
                      <c15:dlblFieldTableCache>
                        <c:ptCount val="1"/>
                        <c:pt idx="0">
                          <c:v>P8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RI'!$C$9</c:f>
            </c:numRef>
          </c:xVal>
          <c:yVal>
            <c:numRef>
              <c:f>'CONSOLIDADOXPROCESO RI'!$B$9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8-6DF1-4837-88E0-287DA6A0DD55}"/>
            </c:ext>
          </c:extLst>
        </c:ser>
        <c:ser>
          <c:idx val="24"/>
          <c:order val="8"/>
          <c:tx>
            <c:v>"P9"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4A153CDA-54FC-4EBE-8100-2FACD88D92B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{4A153CDA-54FC-4EBE-8100-2FACD88D92BB}</c15:txfldGUID>
                      <c15:f>'MAPA RIESGO'!$AE$52</c15:f>
                      <c15:dlblFieldTableCache>
                        <c:ptCount val="1"/>
                        <c:pt idx="0">
                          <c:v>P9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RI'!$C$10</c:f>
            </c:numRef>
          </c:xVal>
          <c:yVal>
            <c:numRef>
              <c:f>'CONSOLIDADOXPROCESO RI'!$B$10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9-6DF1-4837-88E0-287DA6A0DD55}"/>
            </c:ext>
          </c:extLst>
        </c:ser>
        <c:ser>
          <c:idx val="25"/>
          <c:order val="9"/>
          <c:tx>
            <c:v>"P10"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49E-2"/>
                  <c:y val="2.4015301718228652E-3"/>
                </c:manualLayout>
              </c:layout>
              <c:tx>
                <c:rich>
                  <a:bodyPr/>
                  <a:lstStyle/>
                  <a:p>
                    <a:fld id="{4B0FA5FD-EA65-450B-BB8C-B72696CBECCF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{4B0FA5FD-EA65-450B-BB8C-B72696CBECCF}</c15:txfldGUID>
                      <c15:f>'MAPA RIESGO'!$AE$53</c15:f>
                      <c15:dlblFieldTableCache>
                        <c:ptCount val="1"/>
                        <c:pt idx="0">
                          <c:v>P10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RI'!$C$11</c:f>
              <c:numCache>
                <c:formatCode>0.00</c:formatCode>
                <c:ptCount val="1"/>
                <c:pt idx="0">
                  <c:v>4</c:v>
                </c:pt>
              </c:numCache>
            </c:numRef>
          </c:xVal>
          <c:yVal>
            <c:numRef>
              <c:f>'CONSOLIDADOXPROCESO RI'!$B$11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A-6DF1-4837-88E0-287DA6A0DD55}"/>
            </c:ext>
          </c:extLst>
        </c:ser>
        <c:ser>
          <c:idx val="26"/>
          <c:order val="10"/>
          <c:tx>
            <c:v>"P11"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37E-2"/>
                  <c:y val="0"/>
                </c:manualLayout>
              </c:layout>
              <c:tx>
                <c:rich>
                  <a:bodyPr/>
                  <a:lstStyle/>
                  <a:p>
                    <a:fld id="{1938146C-A41C-4893-87B8-42018FF019C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{1938146C-A41C-4893-87B8-42018FF019CA}</c15:txfldGUID>
                      <c15:f>'MAPA RIESGO'!$AE$54</c15:f>
                      <c15:dlblFieldTableCache>
                        <c:ptCount val="1"/>
                        <c:pt idx="0">
                          <c:v>P11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RI'!$C$12</c:f>
            </c:numRef>
          </c:xVal>
          <c:yVal>
            <c:numRef>
              <c:f>'CONSOLIDADOXPROCESO RI'!$B$12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B-6DF1-4837-88E0-287DA6A0DD55}"/>
            </c:ext>
          </c:extLst>
        </c:ser>
        <c:ser>
          <c:idx val="27"/>
          <c:order val="11"/>
          <c:tx>
            <c:v>"P12"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65E-2"/>
                  <c:y val="-2.4015301718228652E-3"/>
                </c:manualLayout>
              </c:layout>
              <c:tx>
                <c:rich>
                  <a:bodyPr/>
                  <a:lstStyle/>
                  <a:p>
                    <a:fld id="{E3C46324-2AA9-41F9-BA0E-92A96D36DD6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{E3C46324-2AA9-41F9-BA0E-92A96D36DD6A}</c15:txfldGUID>
                      <c15:f>'MAPA RIESGO'!$AE$55</c15:f>
                      <c15:dlblFieldTableCache>
                        <c:ptCount val="1"/>
                        <c:pt idx="0">
                          <c:v>P12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RI'!$C$13</c:f>
            </c:numRef>
          </c:xVal>
          <c:yVal>
            <c:numRef>
              <c:f>'CONSOLIDADOXPROCESO RI'!$B$13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C-6DF1-4837-88E0-287DA6A0DD55}"/>
            </c:ext>
          </c:extLst>
        </c:ser>
        <c:ser>
          <c:idx val="28"/>
          <c:order val="12"/>
          <c:tx>
            <c:v>P13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1250000000000072E-2"/>
                  <c:y val="0"/>
                </c:manualLayout>
              </c:layout>
              <c:tx>
                <c:rich>
                  <a:bodyPr/>
                  <a:lstStyle/>
                  <a:p>
                    <a:fld id="{FF12B61D-878B-43B7-8FE9-2CD8B34F994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{FF12B61D-878B-43B7-8FE9-2CD8B34F9946}</c15:txfldGUID>
                      <c15:f>'MAPA RIESGO'!$AE$56</c15:f>
                      <c15:dlblFieldTableCache>
                        <c:ptCount val="1"/>
                        <c:pt idx="0">
                          <c:v>P13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RI'!$C$14</c:f>
            </c:numRef>
          </c:xVal>
          <c:yVal>
            <c:numRef>
              <c:f>'CONSOLIDADOXPROCESO RI'!$B$14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D-6DF1-4837-88E0-287DA6A0DD55}"/>
            </c:ext>
          </c:extLst>
        </c:ser>
        <c:ser>
          <c:idx val="29"/>
          <c:order val="13"/>
          <c:tx>
            <c:v>P14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37E-2"/>
                  <c:y val="0"/>
                </c:manualLayout>
              </c:layout>
              <c:tx>
                <c:rich>
                  <a:bodyPr/>
                  <a:lstStyle/>
                  <a:p>
                    <a:fld id="{84C61908-846F-44DB-B8B8-BD39CDB2252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{84C61908-846F-44DB-B8B8-BD39CDB2252E}</c15:txfldGUID>
                      <c15:f>'MAPA RIESGO'!$AE$57</c15:f>
                      <c15:dlblFieldTableCache>
                        <c:ptCount val="1"/>
                        <c:pt idx="0">
                          <c:v>P14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RI'!$C$15</c:f>
            </c:numRef>
          </c:xVal>
          <c:yVal>
            <c:numRef>
              <c:f>'CONSOLIDADOXPROCESO RI'!$B$15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E-6DF1-4837-88E0-287DA6A0DD55}"/>
            </c:ext>
          </c:extLst>
        </c:ser>
        <c:ser>
          <c:idx val="30"/>
          <c:order val="14"/>
          <c:tx>
            <c:strRef>
              <c:f>'MAPA RIESGO'!$AE$58</c:f>
              <c:strCache>
                <c:ptCount val="1"/>
                <c:pt idx="0">
                  <c:v>P15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49E-2"/>
                  <c:y val="-2.4015301718228652E-3"/>
                </c:manualLayout>
              </c:layout>
              <c:tx>
                <c:rich>
                  <a:bodyPr/>
                  <a:lstStyle/>
                  <a:p>
                    <a:fld id="{A263A43E-2131-40E1-AD1C-29610AE2B42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{A263A43E-2131-40E1-AD1C-29610AE2B428}</c15:txfldGUID>
                      <c15:f>'MAPA RIESGO'!$AE$58</c15:f>
                      <c15:dlblFieldTableCache>
                        <c:ptCount val="1"/>
                        <c:pt idx="0">
                          <c:v>P15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6DF1-4837-88E0-287DA6A0D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RI'!$C$16</c:f>
            </c:numRef>
          </c:xVal>
          <c:yVal>
            <c:numRef>
              <c:f>'CONSOLIDADOXPROCESO RI'!$B$16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3F-6DF1-4837-88E0-287DA6A0DD55}"/>
            </c:ext>
          </c:extLst>
        </c:ser>
        <c:ser>
          <c:idx val="31"/>
          <c:order val="15"/>
          <c:tx>
            <c:v>P16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9166666666666663E-2"/>
                  <c:y val="-4.402754454013432E-17"/>
                </c:manualLayout>
              </c:layout>
              <c:tx>
                <c:rich>
                  <a:bodyPr/>
                  <a:lstStyle/>
                  <a:p>
                    <a:fld id="{D9E03AE1-6A39-4B13-B0EF-8D07DD81EB3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{D9E03AE1-6A39-4B13-B0EF-8D07DD81EB36}</c15:txfldGUID>
                      <c15:f>'MAPA RIESGO'!$AE$59</c15:f>
                      <c15:dlblFieldTableCache>
                        <c:ptCount val="1"/>
                        <c:pt idx="0">
                          <c:v>P16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AFFD-4EE3-AA8D-DFD3DAAA4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RI'!$C$17</c:f>
            </c:numRef>
          </c:xVal>
          <c:yVal>
            <c:numRef>
              <c:f>'CONSOLIDADOXPROCESO RI'!$B$17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40-6DF1-4837-88E0-287DA6A0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255672"/>
        <c:axId val="298256064"/>
      </c:bubbleChart>
      <c:valAx>
        <c:axId val="298255672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6064"/>
        <c:crosses val="autoZero"/>
        <c:crossBetween val="midCat"/>
        <c:majorUnit val="0.5"/>
      </c:valAx>
      <c:valAx>
        <c:axId val="298256064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0"/>
              <c:y val="0.21181420476732105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5672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Residual por proceso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0083825459317584E-2"/>
          <c:y val="9.3825932152346525E-2"/>
          <c:w val="0.87429977083632382"/>
          <c:h val="0.80337411669695136"/>
        </c:manualLayout>
      </c:layout>
      <c:bubbleChart>
        <c:varyColors val="0"/>
        <c:ser>
          <c:idx val="16"/>
          <c:order val="0"/>
          <c:tx>
            <c:strRef>
              <c:f>'MAPA RIESGO'!$AE$72</c:f>
              <c:strCache>
                <c:ptCount val="1"/>
                <c:pt idx="0">
                  <c:v>P1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6666666666666666E-2"/>
                  <c:y val="0"/>
                </c:manualLayout>
              </c:layout>
              <c:tx>
                <c:rich>
                  <a:bodyPr/>
                  <a:lstStyle/>
                  <a:p>
                    <a:fld id="{FBBF9AD0-2686-4B86-8F49-DCA88B48CA86}" type="CELLREF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{FBBF9AD0-2686-4B86-8F49-DCA88B48CA86}</c15:txfldGUID>
                      <c15:f>'MAPA RIESGO'!$AE$72</c15:f>
                      <c15:dlblFieldTableCache>
                        <c:ptCount val="1"/>
                        <c:pt idx="0">
                          <c:v>P1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RR'!$C$2</c:f>
              <c:numCache>
                <c:formatCode>0.00</c:formatCode>
                <c:ptCount val="1"/>
                <c:pt idx="0">
                  <c:v>1.25</c:v>
                </c:pt>
              </c:numCache>
            </c:numRef>
          </c:xVal>
          <c:yVal>
            <c:numRef>
              <c:f>'CONSOLIDADOXPROCESO RR'!$B$2</c:f>
              <c:numCache>
                <c:formatCode>0.00</c:formatCode>
                <c:ptCount val="1"/>
                <c:pt idx="0">
                  <c:v>1.25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519F-4905-99EF-0F5BBA14F388}"/>
            </c:ext>
          </c:extLst>
        </c:ser>
        <c:ser>
          <c:idx val="17"/>
          <c:order val="1"/>
          <c:tx>
            <c:v>P2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916666666666699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31015669-BDF2-4F08-ABA0-7A6199F50FDD}" type="CELLREF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4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{31015669-BDF2-4F08-ABA0-7A6199F50FDD}</c15:txfldGUID>
                      <c15:f>'MAPA RIESGO'!$AE$73</c15:f>
                      <c15:dlblFieldTableCache>
                        <c:ptCount val="1"/>
                        <c:pt idx="0">
                          <c:v>P2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RR'!$C$3</c:f>
            </c:numRef>
          </c:xVal>
          <c:yVal>
            <c:numRef>
              <c:f>'CONSOLIDADOXPROCESO RR'!$B$3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1-519F-4905-99EF-0F5BBA14F388}"/>
            </c:ext>
          </c:extLst>
        </c:ser>
        <c:ser>
          <c:idx val="18"/>
          <c:order val="2"/>
          <c:tx>
            <c:v>P3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6666666666666666E-2"/>
                  <c:y val="0"/>
                </c:manualLayout>
              </c:layout>
              <c:tx>
                <c:rich>
                  <a:bodyPr/>
                  <a:lstStyle/>
                  <a:p>
                    <a:fld id="{D24E30F7-3D7A-4228-B76A-213A838AFA3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{D24E30F7-3D7A-4228-B76A-213A838AFA38}</c15:txfldGUID>
                      <c15:f>'MAPA RIESGO'!$AE$74</c15:f>
                      <c15:dlblFieldTableCache>
                        <c:ptCount val="1"/>
                        <c:pt idx="0">
                          <c:v>P3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RR'!$C$4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'CONSOLIDADOXPROCESO RR'!$B$4</c:f>
              <c:numCache>
                <c:formatCode>0.00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519F-4905-99EF-0F5BBA14F388}"/>
            </c:ext>
          </c:extLst>
        </c:ser>
        <c:ser>
          <c:idx val="19"/>
          <c:order val="3"/>
          <c:tx>
            <c:v>P4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750000000000006E-2"/>
                  <c:y val="0"/>
                </c:manualLayout>
              </c:layout>
              <c:tx>
                <c:rich>
                  <a:bodyPr/>
                  <a:lstStyle/>
                  <a:p>
                    <a:fld id="{FBEB525F-AFC2-428C-8786-95C0218B8246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{FBEB525F-AFC2-428C-8786-95C0218B8246}</c15:txfldGUID>
                      <c15:f>'MAPA RIESGO'!$AE$75</c15:f>
                      <c15:dlblFieldTableCache>
                        <c:ptCount val="1"/>
                        <c:pt idx="0">
                          <c:v>P4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RR'!$C$5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'CONSOLIDADOXPROCESO RR'!$B$5</c:f>
              <c:numCache>
                <c:formatCode>0.00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519F-4905-99EF-0F5BBA14F388}"/>
            </c:ext>
          </c:extLst>
        </c:ser>
        <c:ser>
          <c:idx val="20"/>
          <c:order val="4"/>
          <c:tx>
            <c:v>P5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916666666666824E-2"/>
                  <c:y val="0"/>
                </c:manualLayout>
              </c:layout>
              <c:tx>
                <c:rich>
                  <a:bodyPr/>
                  <a:lstStyle/>
                  <a:p>
                    <a:fld id="{85021130-231F-4417-980A-392E315E6D39}" type="CELLREF">
                      <a:rPr lang="en-US" b="1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{85021130-231F-4417-980A-392E315E6D39}</c15:txfldGUID>
                      <c15:f>'MAPA RIESGO'!$AE$76</c15:f>
                      <c15:dlblFieldTableCache>
                        <c:ptCount val="1"/>
                        <c:pt idx="0">
                          <c:v>P5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RR'!$C$6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'CONSOLIDADOXPROCESO RR'!$B$6</c:f>
              <c:numCache>
                <c:formatCode>0.00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4-519F-4905-99EF-0F5BBA14F388}"/>
            </c:ext>
          </c:extLst>
        </c:ser>
        <c:ser>
          <c:idx val="21"/>
          <c:order val="5"/>
          <c:tx>
            <c:v>P6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0833333333333331E-2"/>
                  <c:y val="2.4015301718228652E-3"/>
                </c:manualLayout>
              </c:layout>
              <c:tx>
                <c:rich>
                  <a:bodyPr/>
                  <a:lstStyle/>
                  <a:p>
                    <a:fld id="{CC9D4860-55A0-4B48-A32B-12C520EBB13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{CC9D4860-55A0-4B48-A32B-12C520EBB132}</c15:txfldGUID>
                      <c15:f>'MAPA RIESGO'!$AE$77</c15:f>
                      <c15:dlblFieldTableCache>
                        <c:ptCount val="1"/>
                        <c:pt idx="0">
                          <c:v>P6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RR'!$C$7</c:f>
              <c:numCache>
                <c:formatCode>0.00</c:formatCode>
                <c:ptCount val="1"/>
                <c:pt idx="0">
                  <c:v>1.1428571428571428</c:v>
                </c:pt>
              </c:numCache>
            </c:numRef>
          </c:xVal>
          <c:yVal>
            <c:numRef>
              <c:f>'CONSOLIDADOXPROCESO RR'!$B$7</c:f>
              <c:numCache>
                <c:formatCode>0.00</c:formatCode>
                <c:ptCount val="1"/>
                <c:pt idx="0">
                  <c:v>1.1428571428571428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519F-4905-99EF-0F5BBA14F388}"/>
            </c:ext>
          </c:extLst>
        </c:ser>
        <c:ser>
          <c:idx val="22"/>
          <c:order val="6"/>
          <c:tx>
            <c:v>P7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0833333333333373E-2"/>
                  <c:y val="0"/>
                </c:manualLayout>
              </c:layout>
              <c:tx>
                <c:rich>
                  <a:bodyPr/>
                  <a:lstStyle/>
                  <a:p>
                    <a:fld id="{DDBAA6E9-9DAB-4E41-9EC6-95D2EC41958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{DDBAA6E9-9DAB-4E41-9EC6-95D2EC41958A}</c15:txfldGUID>
                      <c15:f>'MAPA RIESGO'!$AE$78</c15:f>
                      <c15:dlblFieldTableCache>
                        <c:ptCount val="1"/>
                        <c:pt idx="0">
                          <c:v>P7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RR'!$C$8</c:f>
            </c:numRef>
          </c:xVal>
          <c:yVal>
            <c:numRef>
              <c:f>'CONSOLIDADOXPROCESO RR'!$B$8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6-519F-4905-99EF-0F5BBA14F388}"/>
            </c:ext>
          </c:extLst>
        </c:ser>
        <c:ser>
          <c:idx val="23"/>
          <c:order val="7"/>
          <c:tx>
            <c:v>P8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916666666666671E-2"/>
                  <c:y val="4.8030603436457304E-3"/>
                </c:manualLayout>
              </c:layout>
              <c:tx>
                <c:rich>
                  <a:bodyPr/>
                  <a:lstStyle/>
                  <a:p>
                    <a:fld id="{6AF0F043-AD5F-464A-9445-D897F8D6D40F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{6AF0F043-AD5F-464A-9445-D897F8D6D40F}</c15:txfldGUID>
                      <c15:f>'MAPA RIESGO'!$AE$79</c15:f>
                      <c15:dlblFieldTableCache>
                        <c:ptCount val="1"/>
                        <c:pt idx="0">
                          <c:v>P8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RR'!$C$9</c:f>
            </c:numRef>
          </c:xVal>
          <c:yVal>
            <c:numRef>
              <c:f>'CONSOLIDADOXPROCESO RR'!$B$9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7-519F-4905-99EF-0F5BBA14F388}"/>
            </c:ext>
          </c:extLst>
        </c:ser>
        <c:ser>
          <c:idx val="24"/>
          <c:order val="8"/>
          <c:tx>
            <c:v>"P9"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0833333333333331E-2"/>
                  <c:y val="0"/>
                </c:manualLayout>
              </c:layout>
              <c:tx>
                <c:rich>
                  <a:bodyPr/>
                  <a:lstStyle/>
                  <a:p>
                    <a:fld id="{74966737-562E-4513-8566-745A3A7C70E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{74966737-562E-4513-8566-745A3A7C70E1}</c15:txfldGUID>
                      <c15:f>'MAPA RIESGO'!$AE$80</c15:f>
                      <c15:dlblFieldTableCache>
                        <c:ptCount val="1"/>
                        <c:pt idx="0">
                          <c:v>P9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RR'!$C$10</c:f>
            </c:numRef>
          </c:xVal>
          <c:yVal>
            <c:numRef>
              <c:f>'CONSOLIDADOXPROCESO RR'!$B$10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8-519F-4905-99EF-0F5BBA14F388}"/>
            </c:ext>
          </c:extLst>
        </c:ser>
        <c:ser>
          <c:idx val="25"/>
          <c:order val="9"/>
          <c:tx>
            <c:v>"P10"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49E-2"/>
                  <c:y val="0"/>
                </c:manualLayout>
              </c:layout>
              <c:tx>
                <c:rich>
                  <a:bodyPr/>
                  <a:lstStyle/>
                  <a:p>
                    <a:fld id="{C0D84F88-44C2-49C8-A45D-B6FBDCBAA7F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{C0D84F88-44C2-49C8-A45D-B6FBDCBAA7F7}</c15:txfldGUID>
                      <c15:f>'MAPA RIESGO'!$AE$81</c15:f>
                      <c15:dlblFieldTableCache>
                        <c:ptCount val="1"/>
                        <c:pt idx="0">
                          <c:v>P10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RR'!$C$11</c:f>
              <c:numCache>
                <c:formatCode>0.00</c:formatCode>
                <c:ptCount val="1"/>
                <c:pt idx="0">
                  <c:v>1</c:v>
                </c:pt>
              </c:numCache>
            </c:numRef>
          </c:xVal>
          <c:yVal>
            <c:numRef>
              <c:f>'CONSOLIDADOXPROCESO RR'!$B$11</c:f>
              <c:numCache>
                <c:formatCode>0.00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9-519F-4905-99EF-0F5BBA14F388}"/>
            </c:ext>
          </c:extLst>
        </c:ser>
        <c:ser>
          <c:idx val="26"/>
          <c:order val="10"/>
          <c:tx>
            <c:v>"P11"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37E-2"/>
                  <c:y val="0"/>
                </c:manualLayout>
              </c:layout>
              <c:tx>
                <c:rich>
                  <a:bodyPr/>
                  <a:lstStyle/>
                  <a:p>
                    <a:fld id="{C21BFF3C-5290-493D-8CDC-47F057B57E6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{C21BFF3C-5290-493D-8CDC-47F057B57E6C}</c15:txfldGUID>
                      <c15:f>'MAPA RIESGO'!$AE$82</c15:f>
                      <c15:dlblFieldTableCache>
                        <c:ptCount val="1"/>
                        <c:pt idx="0">
                          <c:v>P11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RR'!$C$12</c:f>
            </c:numRef>
          </c:xVal>
          <c:yVal>
            <c:numRef>
              <c:f>'CONSOLIDADOXPROCESO RR'!$B$12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A-519F-4905-99EF-0F5BBA14F388}"/>
            </c:ext>
          </c:extLst>
        </c:ser>
        <c:ser>
          <c:idx val="27"/>
          <c:order val="11"/>
          <c:tx>
            <c:v>"P12"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65E-2"/>
                  <c:y val="0"/>
                </c:manualLayout>
              </c:layout>
              <c:tx>
                <c:rich>
                  <a:bodyPr/>
                  <a:lstStyle/>
                  <a:p>
                    <a:fld id="{4B6125C1-E022-42B9-BEE2-8DA2D3E8D03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{4B6125C1-E022-42B9-BEE2-8DA2D3E8D03D}</c15:txfldGUID>
                      <c15:f>'MAPA RIESGO'!$AE$83</c15:f>
                      <c15:dlblFieldTableCache>
                        <c:ptCount val="1"/>
                        <c:pt idx="0">
                          <c:v>P12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RR'!$C$13</c:f>
            </c:numRef>
          </c:xVal>
          <c:yVal>
            <c:numRef>
              <c:f>'CONSOLIDADOXPROCESO RR'!$B$13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B-519F-4905-99EF-0F5BBA14F388}"/>
            </c:ext>
          </c:extLst>
        </c:ser>
        <c:ser>
          <c:idx val="28"/>
          <c:order val="12"/>
          <c:tx>
            <c:v>P13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406E-2"/>
                  <c:y val="0"/>
                </c:manualLayout>
              </c:layout>
              <c:tx>
                <c:rich>
                  <a:bodyPr/>
                  <a:lstStyle/>
                  <a:p>
                    <a:fld id="{357CCF4B-D7CC-43F1-9E21-228A4A7EBC8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{357CCF4B-D7CC-43F1-9E21-228A4A7EBC89}</c15:txfldGUID>
                      <c15:f>'MAPA RIESGO'!$AE$84</c15:f>
                      <c15:dlblFieldTableCache>
                        <c:ptCount val="1"/>
                        <c:pt idx="0">
                          <c:v>P13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RR'!$C$14</c:f>
            </c:numRef>
          </c:xVal>
          <c:yVal>
            <c:numRef>
              <c:f>'CONSOLIDADOXPROCESO RR'!$B$14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C-519F-4905-99EF-0F5BBA14F388}"/>
            </c:ext>
          </c:extLst>
        </c:ser>
        <c:ser>
          <c:idx val="29"/>
          <c:order val="13"/>
          <c:tx>
            <c:v>P14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37E-2"/>
                  <c:y val="-4.8030603436458189E-3"/>
                </c:manualLayout>
              </c:layout>
              <c:tx>
                <c:rich>
                  <a:bodyPr/>
                  <a:lstStyle/>
                  <a:p>
                    <a:fld id="{C5590ED8-15F6-4B86-A1CC-3FDE63A6979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{C5590ED8-15F6-4B86-A1CC-3FDE63A6979C}</c15:txfldGUID>
                      <c15:f>'MAPA RIESGO'!$AE$85</c15:f>
                      <c15:dlblFieldTableCache>
                        <c:ptCount val="1"/>
                        <c:pt idx="0">
                          <c:v>P14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RR'!$C$15</c:f>
            </c:numRef>
          </c:xVal>
          <c:yVal>
            <c:numRef>
              <c:f>'CONSOLIDADOXPROCESO RR'!$B$15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D-519F-4905-99EF-0F5BBA14F388}"/>
            </c:ext>
          </c:extLst>
        </c:ser>
        <c:ser>
          <c:idx val="30"/>
          <c:order val="14"/>
          <c:tx>
            <c:v>P15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9166666666666663E-2"/>
                  <c:y val="0"/>
                </c:manualLayout>
              </c:layout>
              <c:tx>
                <c:rich>
                  <a:bodyPr/>
                  <a:lstStyle/>
                  <a:p>
                    <a:fld id="{384D7BFD-99BD-4321-8F44-50F1B1AB1D5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{384D7BFD-99BD-4321-8F44-50F1B1AB1D5A}</c15:txfldGUID>
                      <c15:f>'MAPA RIESGO'!$AE$86</c15:f>
                      <c15:dlblFieldTableCache>
                        <c:ptCount val="1"/>
                        <c:pt idx="0">
                          <c:v>P15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'CONSOLIDADOXPROCESO RR'!$C$16</c:f>
            </c:numRef>
          </c:xVal>
          <c:yVal>
            <c:numRef>
              <c:f>'CONSOLIDADOXPROCESO RR'!$B$16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E-519F-4905-99EF-0F5BBA14F388}"/>
            </c:ext>
          </c:extLst>
        </c:ser>
        <c:ser>
          <c:idx val="31"/>
          <c:order val="15"/>
          <c:tx>
            <c:v>P16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7083333333333337E-2"/>
                  <c:y val="-4.402754454013432E-17"/>
                </c:manualLayout>
              </c:layout>
              <c:tx>
                <c:rich>
                  <a:bodyPr/>
                  <a:lstStyle/>
                  <a:p>
                    <a:fld id="{938A197A-B0D7-48A8-90DF-E84BE9B545A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{938A197A-B0D7-48A8-90DF-E84BE9B545A1}</c15:txfldGUID>
                      <c15:f>'MAPA RIESGO'!$AE$87</c15:f>
                      <c15:dlblFieldTableCache>
                        <c:ptCount val="1"/>
                        <c:pt idx="0">
                          <c:v>P16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519F-4905-99EF-0F5BBA14F3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'CONSOLIDADOXPROCESO RR'!$C$17</c:f>
            </c:numRef>
          </c:xVal>
          <c:yVal>
            <c:numRef>
              <c:f>'CONSOLIDADOXPROCESO RR'!$B$17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F-519F-4905-99EF-0F5BBA14F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255672"/>
        <c:axId val="298256064"/>
      </c:bubbleChart>
      <c:valAx>
        <c:axId val="298255672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Valoración consecuencia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6064"/>
        <c:crosses val="autoZero"/>
        <c:crossBetween val="midCat"/>
        <c:majorUnit val="0.5"/>
      </c:valAx>
      <c:valAx>
        <c:axId val="298256064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5672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ASOCIADO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0"/>
          <c:order val="0"/>
          <c:tx>
            <c:v>RA</c:v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765072765072839E-2"/>
                  <c:y val="0"/>
                </c:manualLayout>
              </c:layout>
              <c:tx>
                <c:rich>
                  <a:bodyPr/>
                  <a:lstStyle/>
                  <a:p>
                    <a:fld id="{E44F6D87-8FA8-48A6-9708-48FAD6136E8A}" type="SERIESNAME">
                      <a:rPr lang="en-US"/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D4-4C7E-A1A9-67E06D57F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INHERENTE'!$J$33</c:f>
              <c:numCache>
                <c:formatCode>General</c:formatCode>
                <c:ptCount val="1"/>
                <c:pt idx="0">
                  <c:v>3.0178571428571432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11D4-4C7E-A1A9-67E06D57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004104"/>
        <c:axId val="298385344"/>
      </c:bubbleChart>
      <c:valAx>
        <c:axId val="298004104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>
                    <a:latin typeface="Candara" panose="020E0502030303020204" pitchFamily="34" charset="0"/>
                  </a:rPr>
                  <a:t>Valoración Impacto</a:t>
                </a:r>
              </a:p>
            </c:rich>
          </c:tx>
          <c:layout>
            <c:manualLayout>
              <c:xMode val="edge"/>
              <c:yMode val="edge"/>
              <c:x val="0.39563507783980223"/>
              <c:y val="0.914416993944552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385344"/>
        <c:crosses val="autoZero"/>
        <c:crossBetween val="midCat"/>
        <c:majorUnit val="0.5"/>
      </c:valAx>
      <c:valAx>
        <c:axId val="298385344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3.4153911634226597E-2"/>
              <c:y val="0.2518352067170964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004104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ASOCIADO POR FACTOR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4"/>
          <c:order val="0"/>
          <c:tx>
            <c:v>CP</c:v>
          </c:tx>
          <c:spPr>
            <a:ln w="285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8440021490591488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6E63524-A072-4C27-B8E0-277A4E5F894E}" type="SERIESNAME">
                      <a:rPr lang="en-US" sz="14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4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LA SERIE]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2EF3-4B37-95C4-53E5A2BB24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RA'!$C$2</c:f>
              <c:numCache>
                <c:formatCode>0.00</c:formatCode>
                <c:ptCount val="1"/>
                <c:pt idx="0">
                  <c:v>2.9513888888888888</c:v>
                </c:pt>
              </c:numCache>
            </c:numRef>
          </c:xVal>
          <c:yVal>
            <c:numRef>
              <c:f>'CONSOLIDADOXFACTOR RA'!$B$2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D-2EF3-4B37-95C4-53E5A2BB240B}"/>
            </c:ext>
          </c:extLst>
        </c:ser>
        <c:ser>
          <c:idx val="5"/>
          <c:order val="1"/>
          <c:tx>
            <c:v>P</c:v>
          </c:tx>
          <c:spPr>
            <a:solidFill>
              <a:schemeClr val="accent3">
                <a:lumMod val="50000"/>
              </a:schemeClr>
            </a:solidFill>
            <a:ln w="28575">
              <a:noFill/>
            </a:ln>
          </c:spPr>
          <c:invertIfNegative val="0"/>
          <c:dLbls>
            <c:dLbl>
              <c:idx val="0"/>
              <c:layout>
                <c:manualLayout>
                  <c:x val="-5.5996381219574801E-2"/>
                  <c:y val="-4.7597408377331703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solidFill>
                          <a:schemeClr val="bg1"/>
                        </a:solidFill>
                      </a:defRPr>
                    </a:pPr>
                    <a:fld id="{869D6ADB-4E21-465B-82FA-7B680D5E0CAF}" type="SERIESNAME">
                      <a:rPr lang="en-US">
                        <a:solidFill>
                          <a:schemeClr val="bg1"/>
                        </a:solidFill>
                      </a:rPr>
                      <a:pPr>
                        <a:defRPr sz="1400" b="1">
                          <a:solidFill>
                            <a:schemeClr val="bg1"/>
                          </a:solidFill>
                        </a:defRPr>
                      </a:pPr>
                      <a:t>[NOMBRE DE LA SERIE]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2EF3-4B37-95C4-53E5A2BB24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RA'!$C$3</c:f>
              <c:numCache>
                <c:formatCode>0.00</c:formatCode>
                <c:ptCount val="1"/>
                <c:pt idx="0">
                  <c:v>2.75</c:v>
                </c:pt>
              </c:numCache>
            </c:numRef>
          </c:xVal>
          <c:yVal>
            <c:numRef>
              <c:f>'CONSOLIDADOXFACTOR RA'!$B$3</c:f>
              <c:numCache>
                <c:formatCode>0.00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E-2EF3-4B37-95C4-53E5A2BB240B}"/>
            </c:ext>
          </c:extLst>
        </c:ser>
        <c:ser>
          <c:idx val="6"/>
          <c:order val="2"/>
          <c:tx>
            <c:v>C</c:v>
          </c:tx>
          <c:spPr>
            <a:ln w="28575">
              <a:noFill/>
            </a:ln>
          </c:spPr>
          <c:invertIfNegative val="0"/>
          <c:dLbls>
            <c:dLbl>
              <c:idx val="0"/>
              <c:layout>
                <c:manualLayout>
                  <c:x val="-6.0144261309913599E-2"/>
                  <c:y val="-1.7452181462598622E-16"/>
                </c:manualLayout>
              </c:layout>
              <c:tx>
                <c:rich>
                  <a:bodyPr/>
                  <a:lstStyle/>
                  <a:p>
                    <a:fld id="{41B97C43-AE29-4086-A5DB-7229004897E9}" type="SERIESNAME">
                      <a:rPr lang="en-US"/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2EF3-4B37-95C4-53E5A2BB24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RA'!$C$4</c:f>
              <c:numCache>
                <c:formatCode>0.00</c:formatCode>
                <c:ptCount val="1"/>
                <c:pt idx="0">
                  <c:v>3.75</c:v>
                </c:pt>
              </c:numCache>
            </c:numRef>
          </c:xVal>
          <c:yVal>
            <c:numRef>
              <c:f>'CONSOLIDADOXFACTOR RA'!$B$4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F-2EF3-4B37-95C4-53E5A2BB240B}"/>
            </c:ext>
          </c:extLst>
        </c:ser>
        <c:ser>
          <c:idx val="7"/>
          <c:order val="3"/>
          <c:tx>
            <c:v>J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5.8070321264744165E-2"/>
                  <c:y val="-2.1815226828248278E-17"/>
                </c:manualLayout>
              </c:layout>
              <c:tx>
                <c:rich>
                  <a:bodyPr/>
                  <a:lstStyle/>
                  <a:p>
                    <a:fld id="{77E7133B-DF87-44DE-831B-E429928971A6}" type="SERIESNAME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2EF3-4B37-95C4-53E5A2BB24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'CONSOLIDADOXFACTOR RA'!$C$5</c:f>
              <c:numCache>
                <c:formatCode>0.00</c:formatCode>
                <c:ptCount val="1"/>
                <c:pt idx="0">
                  <c:v>3.125</c:v>
                </c:pt>
              </c:numCache>
            </c:numRef>
          </c:xVal>
          <c:yVal>
            <c:numRef>
              <c:f>'CONSOLIDADOXFACTOR RA'!$B$5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10-2EF3-4B37-95C4-53E5A2BB2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254496"/>
        <c:axId val="298254888"/>
      </c:bubbleChart>
      <c:valAx>
        <c:axId val="298254496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 b="1">
                    <a:latin typeface="Candara" panose="020E0502030303020204" pitchFamily="34" charset="0"/>
                  </a:rPr>
                  <a:t>Valoración Impacto</a:t>
                </a:r>
              </a:p>
            </c:rich>
          </c:tx>
          <c:layout>
            <c:manualLayout>
              <c:xMode val="edge"/>
              <c:yMode val="edge"/>
              <c:x val="0.39477323940268677"/>
              <c:y val="0.9285441688900442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888"/>
        <c:crosses val="autoZero"/>
        <c:crossBetween val="midCat"/>
        <c:majorUnit val="0.5"/>
      </c:valAx>
      <c:valAx>
        <c:axId val="298254888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2.289592287040465E-2"/>
              <c:y val="0.24991864541455378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496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Candara" panose="020E0502030303020204" pitchFamily="34" charset="0"/>
              </a:defRPr>
            </a:pPr>
            <a:r>
              <a:rPr lang="en-US">
                <a:latin typeface="Candara" panose="020E0502030303020204" pitchFamily="34" charset="0"/>
              </a:rPr>
              <a:t>RIESGO ASOCIADO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565195273607616E-2"/>
          <c:y val="0.10108798707853826"/>
          <c:w val="0.87429977083632382"/>
          <c:h val="0.80337411669695136"/>
        </c:manualLayout>
      </c:layout>
      <c:bubbleChart>
        <c:varyColors val="0"/>
        <c:ser>
          <c:idx val="4"/>
          <c:order val="0"/>
          <c:tx>
            <c:strRef>
              <c:f>'MAPA RIESGO'!$AE$26</c:f>
              <c:strCache>
                <c:ptCount val="1"/>
                <c:pt idx="0">
                  <c:v>RR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6735781671269085E-2"/>
                  <c:y val="2.1815226828248278E-1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71C21F47-5C4B-477C-9A84-614F02F8ED29}" type="SERIESNAME">
                      <a:rPr lang="en-US" sz="14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4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LA SERIE]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07F-447F-8CAB-D7F5A41DD2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INHERENTE'!$F$33</c:f>
              <c:numCache>
                <c:formatCode>General</c:formatCode>
                <c:ptCount val="1"/>
                <c:pt idx="0">
                  <c:v>2.2857142857142856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E07F-447F-8CAB-D7F5A41DD274}"/>
            </c:ext>
          </c:extLst>
        </c:ser>
        <c:ser>
          <c:idx val="5"/>
          <c:order val="1"/>
          <c:tx>
            <c:strRef>
              <c:f>'MAPA RIESGO'!$AE$27</c:f>
              <c:strCache>
                <c:ptCount val="1"/>
                <c:pt idx="0">
                  <c:v>RL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587901580930134E-2"/>
                  <c:y val="-2.1815226828248278E-17"/>
                </c:manualLayout>
              </c:layout>
              <c:tx>
                <c:rich>
                  <a:bodyPr/>
                  <a:lstStyle/>
                  <a:p>
                    <a:fld id="{1C9EFD00-48C6-4D2A-85C3-1EB984FB7FA0}" type="SERIESNAME">
                      <a:rPr lang="en-US"/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07F-447F-8CAB-D7F5A41DD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INHERENTE'!$G$33</c:f>
              <c:numCache>
                <c:formatCode>General</c:formatCode>
                <c:ptCount val="1"/>
                <c:pt idx="0">
                  <c:v>3.5714285714285716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1-E07F-447F-8CAB-D7F5A41DD274}"/>
            </c:ext>
          </c:extLst>
        </c:ser>
        <c:ser>
          <c:idx val="6"/>
          <c:order val="2"/>
          <c:tx>
            <c:strRef>
              <c:f>'MAPA RIESGO'!$AE$28</c:f>
              <c:strCache>
                <c:ptCount val="1"/>
                <c:pt idx="0">
                  <c:v>RC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4661841626099637E-2"/>
                  <c:y val="-2.1815226828248278E-17"/>
                </c:manualLayout>
              </c:layout>
              <c:tx>
                <c:rich>
                  <a:bodyPr/>
                  <a:lstStyle/>
                  <a:p>
                    <a:fld id="{606B3EB9-C97C-4A94-B748-1D0FFF804B3A}" type="SERIESNAME">
                      <a:rPr lang="en-US"/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07F-447F-8CAB-D7F5A41DD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'RIESGO INHERENTE'!$H$33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E07F-447F-8CAB-D7F5A41DD274}"/>
            </c:ext>
          </c:extLst>
        </c:ser>
        <c:ser>
          <c:idx val="7"/>
          <c:order val="3"/>
          <c:tx>
            <c:strRef>
              <c:f>'MAPA RIESGO'!$AE$29</c:f>
              <c:strCache>
                <c:ptCount val="1"/>
                <c:pt idx="0">
                  <c:v>RO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0513961535760769E-2"/>
                  <c:y val="2.1815226828248278E-17"/>
                </c:manualLayout>
              </c:layout>
              <c:tx>
                <c:rich>
                  <a:bodyPr/>
                  <a:lstStyle/>
                  <a:p>
                    <a:fld id="{11921507-D1E0-4056-9A07-70E04CCDC465}" type="SERIESNAME">
                      <a:rPr lang="en-US"/>
                      <a:pPr/>
                      <a:t>[NOMBRE DE LA SERIE]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07F-447F-8CAB-D7F5A41DD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'RIESGO INHERENTE'!$I$33</c:f>
              <c:numCache>
                <c:formatCode>General</c:formatCode>
                <c:ptCount val="1"/>
                <c:pt idx="0">
                  <c:v>4.7142857142857144</c:v>
                </c:pt>
              </c:numCache>
            </c:numRef>
          </c:xVal>
          <c:yVal>
            <c:numRef>
              <c:f>'RIESGO INHERENTE'!$O$33</c:f>
              <c:numCache>
                <c:formatCode>General</c:formatCode>
                <c:ptCount val="1"/>
                <c:pt idx="0">
                  <c:v>4.666666666666667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E07F-447F-8CAB-D7F5A41DD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98254496"/>
        <c:axId val="298254888"/>
      </c:bubbleChart>
      <c:valAx>
        <c:axId val="298254496"/>
        <c:scaling>
          <c:orientation val="minMax"/>
          <c:max val="5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200" b="1">
                    <a:latin typeface="Candara" panose="020E0502030303020204" pitchFamily="34" charset="0"/>
                  </a:rPr>
                  <a:t>Valoración Impacto</a:t>
                </a:r>
              </a:p>
            </c:rich>
          </c:tx>
          <c:layout>
            <c:manualLayout>
              <c:xMode val="edge"/>
              <c:yMode val="edge"/>
              <c:x val="0.39477323940268677"/>
              <c:y val="0.928544168890044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888"/>
        <c:crosses val="autoZero"/>
        <c:crossBetween val="midCat"/>
        <c:majorUnit val="0.5"/>
      </c:valAx>
      <c:valAx>
        <c:axId val="298254888"/>
        <c:scaling>
          <c:orientation val="minMax"/>
          <c:max val="5.5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Candara" panose="020E0502030303020204" pitchFamily="34" charset="0"/>
                  </a:defRPr>
                </a:pPr>
                <a:r>
                  <a:rPr lang="es-CO" sz="1400">
                    <a:latin typeface="Candara" panose="020E0502030303020204" pitchFamily="34" charset="0"/>
                  </a:rPr>
                  <a:t>Probabilidad</a:t>
                </a:r>
              </a:p>
            </c:rich>
          </c:tx>
          <c:layout>
            <c:manualLayout>
              <c:xMode val="edge"/>
              <c:yMode val="edge"/>
              <c:x val="2.289592287040465E-2"/>
              <c:y val="0.249918645414553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98254496"/>
        <c:crosses val="autoZero"/>
        <c:crossBetween val="midCat"/>
        <c:majorUnit val="0.5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RIESGO'!A1"/><Relationship Id="rId3" Type="http://schemas.openxmlformats.org/officeDocument/2006/relationships/hyperlink" Target="#'RIESGO INHERENTE'!A1"/><Relationship Id="rId7" Type="http://schemas.openxmlformats.org/officeDocument/2006/relationships/hyperlink" Target="#'CONSOLIDADOXFACTOR RR'!A1"/><Relationship Id="rId2" Type="http://schemas.openxmlformats.org/officeDocument/2006/relationships/hyperlink" Target="#'ESCENARIOS DE RIESGO'!A1"/><Relationship Id="rId1" Type="http://schemas.openxmlformats.org/officeDocument/2006/relationships/hyperlink" Target="#INTRODUCCION!A1"/><Relationship Id="rId6" Type="http://schemas.openxmlformats.org/officeDocument/2006/relationships/hyperlink" Target="#'RIESGO RESIDUAL'!A1"/><Relationship Id="rId5" Type="http://schemas.openxmlformats.org/officeDocument/2006/relationships/hyperlink" Target="#CONTROLES!A1"/><Relationship Id="rId4" Type="http://schemas.openxmlformats.org/officeDocument/2006/relationships/hyperlink" Target="#'CONSOLIDADOXFACTOR RI'!A1"/><Relationship Id="rId9" Type="http://schemas.openxmlformats.org/officeDocument/2006/relationships/hyperlink" Target="#'MAPA DE RIESGO FINAL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hyperlink" Target="#MENU!A1"/><Relationship Id="rId9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51271</xdr:colOff>
      <xdr:row>8</xdr:row>
      <xdr:rowOff>123825</xdr:rowOff>
    </xdr:from>
    <xdr:to>
      <xdr:col>10</xdr:col>
      <xdr:colOff>3646</xdr:colOff>
      <xdr:row>10</xdr:row>
      <xdr:rowOff>57150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80EFB-F95C-4DC3-A421-8E555B5C4077}"/>
            </a:ext>
          </a:extLst>
        </xdr:cNvPr>
        <xdr:cNvSpPr/>
      </xdr:nvSpPr>
      <xdr:spPr>
        <a:xfrm>
          <a:off x="4286856" y="1826165"/>
          <a:ext cx="714375" cy="3791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53905</xdr:colOff>
      <xdr:row>10</xdr:row>
      <xdr:rowOff>133350</xdr:rowOff>
    </xdr:from>
    <xdr:to>
      <xdr:col>10</xdr:col>
      <xdr:colOff>6280</xdr:colOff>
      <xdr:row>12</xdr:row>
      <xdr:rowOff>76200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3E40EB-BD35-4FE7-A541-4EB6E7876F8F}"/>
            </a:ext>
          </a:extLst>
        </xdr:cNvPr>
        <xdr:cNvSpPr/>
      </xdr:nvSpPr>
      <xdr:spPr>
        <a:xfrm>
          <a:off x="4289490" y="2281541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53907</xdr:colOff>
      <xdr:row>12</xdr:row>
      <xdr:rowOff>142875</xdr:rowOff>
    </xdr:from>
    <xdr:to>
      <xdr:col>10</xdr:col>
      <xdr:colOff>6282</xdr:colOff>
      <xdr:row>14</xdr:row>
      <xdr:rowOff>85725</xdr:rowOff>
    </xdr:to>
    <xdr:sp macro="" textlink="">
      <xdr:nvSpPr>
        <xdr:cNvPr id="4" name="Flecha: a la derecha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CAA697-1034-4D2B-92FB-59ACA9D106D2}"/>
            </a:ext>
          </a:extLst>
        </xdr:cNvPr>
        <xdr:cNvSpPr/>
      </xdr:nvSpPr>
      <xdr:spPr>
        <a:xfrm>
          <a:off x="4289492" y="2728811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52487</xdr:colOff>
      <xdr:row>14</xdr:row>
      <xdr:rowOff>142875</xdr:rowOff>
    </xdr:from>
    <xdr:to>
      <xdr:col>10</xdr:col>
      <xdr:colOff>4862</xdr:colOff>
      <xdr:row>16</xdr:row>
      <xdr:rowOff>85725</xdr:rowOff>
    </xdr:to>
    <xdr:sp macro="" textlink="">
      <xdr:nvSpPr>
        <xdr:cNvPr id="5" name="Flecha: a la derech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9889C2-6E9F-4674-963B-A834A1C41179}"/>
            </a:ext>
          </a:extLst>
        </xdr:cNvPr>
        <xdr:cNvSpPr/>
      </xdr:nvSpPr>
      <xdr:spPr>
        <a:xfrm>
          <a:off x="4288072" y="3166556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52876</xdr:colOff>
      <xdr:row>16</xdr:row>
      <xdr:rowOff>138479</xdr:rowOff>
    </xdr:from>
    <xdr:to>
      <xdr:col>10</xdr:col>
      <xdr:colOff>5251</xdr:colOff>
      <xdr:row>18</xdr:row>
      <xdr:rowOff>81330</xdr:rowOff>
    </xdr:to>
    <xdr:sp macro="" textlink="">
      <xdr:nvSpPr>
        <xdr:cNvPr id="6" name="Flecha: a la derecha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B05A0E-3CD6-4DCB-B35D-8FB9126BF2B3}"/>
            </a:ext>
          </a:extLst>
        </xdr:cNvPr>
        <xdr:cNvSpPr/>
      </xdr:nvSpPr>
      <xdr:spPr>
        <a:xfrm>
          <a:off x="4288461" y="3599905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47359</xdr:colOff>
      <xdr:row>18</xdr:row>
      <xdr:rowOff>151668</xdr:rowOff>
    </xdr:from>
    <xdr:to>
      <xdr:col>9</xdr:col>
      <xdr:colOff>761734</xdr:colOff>
      <xdr:row>20</xdr:row>
      <xdr:rowOff>94519</xdr:rowOff>
    </xdr:to>
    <xdr:sp macro="" textlink="">
      <xdr:nvSpPr>
        <xdr:cNvPr id="7" name="Flecha: a la derecha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544B639-599D-4F35-9CC5-D293B33BEFCD}"/>
            </a:ext>
          </a:extLst>
        </xdr:cNvPr>
        <xdr:cNvSpPr/>
      </xdr:nvSpPr>
      <xdr:spPr>
        <a:xfrm>
          <a:off x="4282944" y="4050838"/>
          <a:ext cx="714375" cy="3805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52288</xdr:colOff>
      <xdr:row>20</xdr:row>
      <xdr:rowOff>150203</xdr:rowOff>
    </xdr:from>
    <xdr:to>
      <xdr:col>10</xdr:col>
      <xdr:colOff>4663</xdr:colOff>
      <xdr:row>22</xdr:row>
      <xdr:rowOff>93053</xdr:rowOff>
    </xdr:to>
    <xdr:sp macro="" textlink="">
      <xdr:nvSpPr>
        <xdr:cNvPr id="8" name="Flecha: a la derecha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CB063-D4EF-4D2B-A802-164D137E1DF3}"/>
            </a:ext>
          </a:extLst>
        </xdr:cNvPr>
        <xdr:cNvSpPr/>
      </xdr:nvSpPr>
      <xdr:spPr>
        <a:xfrm>
          <a:off x="4287873" y="4487118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54874</xdr:colOff>
      <xdr:row>22</xdr:row>
      <xdr:rowOff>153865</xdr:rowOff>
    </xdr:from>
    <xdr:to>
      <xdr:col>10</xdr:col>
      <xdr:colOff>7249</xdr:colOff>
      <xdr:row>24</xdr:row>
      <xdr:rowOff>96716</xdr:rowOff>
    </xdr:to>
    <xdr:sp macro="" textlink="">
      <xdr:nvSpPr>
        <xdr:cNvPr id="9" name="Flecha: a la derecha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E8074F6-95D8-4250-B050-B7CEB414B87E}"/>
            </a:ext>
          </a:extLst>
        </xdr:cNvPr>
        <xdr:cNvSpPr/>
      </xdr:nvSpPr>
      <xdr:spPr>
        <a:xfrm>
          <a:off x="4290459" y="4928525"/>
          <a:ext cx="714375" cy="3805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52630</xdr:colOff>
      <xdr:row>24</xdr:row>
      <xdr:rowOff>145073</xdr:rowOff>
    </xdr:from>
    <xdr:to>
      <xdr:col>10</xdr:col>
      <xdr:colOff>5005</xdr:colOff>
      <xdr:row>26</xdr:row>
      <xdr:rowOff>87924</xdr:rowOff>
    </xdr:to>
    <xdr:sp macro="" textlink="">
      <xdr:nvSpPr>
        <xdr:cNvPr id="10" name="Flecha: a la derecha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5B28219-BA61-47DE-9527-18B0BFDF29E1}"/>
            </a:ext>
          </a:extLst>
        </xdr:cNvPr>
        <xdr:cNvSpPr/>
      </xdr:nvSpPr>
      <xdr:spPr>
        <a:xfrm>
          <a:off x="4288215" y="5357477"/>
          <a:ext cx="714375" cy="3805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27608</xdr:colOff>
      <xdr:row>33</xdr:row>
      <xdr:rowOff>165652</xdr:rowOff>
    </xdr:from>
    <xdr:to>
      <xdr:col>17</xdr:col>
      <xdr:colOff>55218</xdr:colOff>
      <xdr:row>61</xdr:row>
      <xdr:rowOff>55217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FC2BBFB1-CB60-4FB3-9F79-14554ED0B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63</xdr:row>
      <xdr:rowOff>41414</xdr:rowOff>
    </xdr:from>
    <xdr:to>
      <xdr:col>7</xdr:col>
      <xdr:colOff>731632</xdr:colOff>
      <xdr:row>90</xdr:row>
      <xdr:rowOff>82827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D38E5353-408A-4D99-AB2C-248A5393E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759238</xdr:colOff>
      <xdr:row>63</xdr:row>
      <xdr:rowOff>41414</xdr:rowOff>
    </xdr:from>
    <xdr:to>
      <xdr:col>17</xdr:col>
      <xdr:colOff>13805</xdr:colOff>
      <xdr:row>90</xdr:row>
      <xdr:rowOff>55219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63BFEAB1-0AD6-4AF2-BF33-E60967716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266700</xdr:colOff>
      <xdr:row>32</xdr:row>
      <xdr:rowOff>63500</xdr:rowOff>
    </xdr:from>
    <xdr:to>
      <xdr:col>18</xdr:col>
      <xdr:colOff>257175</xdr:colOff>
      <xdr:row>34</xdr:row>
      <xdr:rowOff>130175</xdr:rowOff>
    </xdr:to>
    <xdr:sp macro="" textlink="">
      <xdr:nvSpPr>
        <xdr:cNvPr id="7" name="Flecha: hacia la izquierda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90256E-B5A1-4305-9371-1FA34563AE4D}"/>
            </a:ext>
          </a:extLst>
        </xdr:cNvPr>
        <xdr:cNvSpPr/>
      </xdr:nvSpPr>
      <xdr:spPr>
        <a:xfrm>
          <a:off x="13982700" y="2540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304800</xdr:colOff>
      <xdr:row>34</xdr:row>
      <xdr:rowOff>12700</xdr:rowOff>
    </xdr:from>
    <xdr:to>
      <xdr:col>8</xdr:col>
      <xdr:colOff>317500</xdr:colOff>
      <xdr:row>61</xdr:row>
      <xdr:rowOff>12700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4EC7BAE5-597C-4405-94BC-E9F1B5991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38100</xdr:colOff>
      <xdr:row>33</xdr:row>
      <xdr:rowOff>165100</xdr:rowOff>
    </xdr:from>
    <xdr:to>
      <xdr:col>28</xdr:col>
      <xdr:colOff>38100</xdr:colOff>
      <xdr:row>61</xdr:row>
      <xdr:rowOff>52160</xdr:rowOff>
    </xdr:to>
    <xdr:graphicFrame macro="">
      <xdr:nvGraphicFramePr>
        <xdr:cNvPr id="11" name="8 Gráfico">
          <a:extLst>
            <a:ext uri="{FF2B5EF4-FFF2-40B4-BE49-F238E27FC236}">
              <a16:creationId xmlns:a16="http://schemas.microsoft.com/office/drawing/2014/main" id="{8FA23129-107F-4032-B2B5-711C72A20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76200</xdr:colOff>
      <xdr:row>63</xdr:row>
      <xdr:rowOff>88900</xdr:rowOff>
    </xdr:from>
    <xdr:to>
      <xdr:col>28</xdr:col>
      <xdr:colOff>76200</xdr:colOff>
      <xdr:row>90</xdr:row>
      <xdr:rowOff>166460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F1E35414-A529-4A7B-BF3D-EF9C99336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35378</xdr:colOff>
      <xdr:row>4</xdr:row>
      <xdr:rowOff>106135</xdr:rowOff>
    </xdr:from>
    <xdr:to>
      <xdr:col>8</xdr:col>
      <xdr:colOff>48078</xdr:colOff>
      <xdr:row>31</xdr:row>
      <xdr:rowOff>144235</xdr:rowOff>
    </xdr:to>
    <xdr:graphicFrame macro="">
      <xdr:nvGraphicFramePr>
        <xdr:cNvPr id="13" name="5 Gráfico">
          <a:extLst>
            <a:ext uri="{FF2B5EF4-FFF2-40B4-BE49-F238E27FC236}">
              <a16:creationId xmlns:a16="http://schemas.microsoft.com/office/drawing/2014/main" id="{1CACB83A-D381-4463-9BE9-27C2CC590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68031</xdr:colOff>
      <xdr:row>4</xdr:row>
      <xdr:rowOff>54432</xdr:rowOff>
    </xdr:from>
    <xdr:to>
      <xdr:col>17</xdr:col>
      <xdr:colOff>95641</xdr:colOff>
      <xdr:row>32</xdr:row>
      <xdr:rowOff>12033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22655BA9-C2F0-40C5-B97F-18546EF23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627535</xdr:colOff>
      <xdr:row>4</xdr:row>
      <xdr:rowOff>44824</xdr:rowOff>
    </xdr:from>
    <xdr:to>
      <xdr:col>27</xdr:col>
      <xdr:colOff>655145</xdr:colOff>
      <xdr:row>32</xdr:row>
      <xdr:rowOff>2425</xdr:rowOff>
    </xdr:to>
    <xdr:graphicFrame macro="">
      <xdr:nvGraphicFramePr>
        <xdr:cNvPr id="15" name="6 Gráfico">
          <a:extLst>
            <a:ext uri="{FF2B5EF4-FFF2-40B4-BE49-F238E27FC236}">
              <a16:creationId xmlns:a16="http://schemas.microsoft.com/office/drawing/2014/main" id="{C494816D-DD4B-4117-92F9-4D72BA127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50800</xdr:rowOff>
    </xdr:from>
    <xdr:to>
      <xdr:col>7</xdr:col>
      <xdr:colOff>193675</xdr:colOff>
      <xdr:row>2</xdr:row>
      <xdr:rowOff>307975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F808B-CF76-461D-A74E-ABD7EF99CC3A}"/>
            </a:ext>
          </a:extLst>
        </xdr:cNvPr>
        <xdr:cNvSpPr/>
      </xdr:nvSpPr>
      <xdr:spPr>
        <a:xfrm>
          <a:off x="9639300" y="508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304800</xdr:colOff>
      <xdr:row>1</xdr:row>
      <xdr:rowOff>50800</xdr:rowOff>
    </xdr:from>
    <xdr:to>
      <xdr:col>7</xdr:col>
      <xdr:colOff>193675</xdr:colOff>
      <xdr:row>2</xdr:row>
      <xdr:rowOff>307975</xdr:rowOff>
    </xdr:to>
    <xdr:sp macro="" textlink="">
      <xdr:nvSpPr>
        <xdr:cNvPr id="6" name="Flecha: hacia la izquierd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951E1B-56CC-4321-B6F5-B394B866D216}"/>
            </a:ext>
          </a:extLst>
        </xdr:cNvPr>
        <xdr:cNvSpPr/>
      </xdr:nvSpPr>
      <xdr:spPr>
        <a:xfrm>
          <a:off x="11366500" y="2413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</xdr:row>
      <xdr:rowOff>38100</xdr:rowOff>
    </xdr:from>
    <xdr:to>
      <xdr:col>2</xdr:col>
      <xdr:colOff>266700</xdr:colOff>
      <xdr:row>5</xdr:row>
      <xdr:rowOff>114300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B9290-1DC7-4283-93B4-71CA74FC0F2E}"/>
            </a:ext>
          </a:extLst>
        </xdr:cNvPr>
        <xdr:cNvSpPr/>
      </xdr:nvSpPr>
      <xdr:spPr>
        <a:xfrm>
          <a:off x="1038225" y="581025"/>
          <a:ext cx="752475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4</xdr:row>
      <xdr:rowOff>28575</xdr:rowOff>
    </xdr:from>
    <xdr:to>
      <xdr:col>4</xdr:col>
      <xdr:colOff>685800</xdr:colOff>
      <xdr:row>6</xdr:row>
      <xdr:rowOff>133350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701AB5-4239-4243-9334-8C6495ABF7F5}"/>
            </a:ext>
          </a:extLst>
        </xdr:cNvPr>
        <xdr:cNvSpPr/>
      </xdr:nvSpPr>
      <xdr:spPr>
        <a:xfrm>
          <a:off x="2533650" y="676275"/>
          <a:ext cx="75247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165100</xdr:colOff>
      <xdr:row>8</xdr:row>
      <xdr:rowOff>0</xdr:rowOff>
    </xdr:from>
    <xdr:to>
      <xdr:col>21</xdr:col>
      <xdr:colOff>155575</xdr:colOff>
      <xdr:row>11</xdr:row>
      <xdr:rowOff>0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2C8A5-FE2A-4AB2-8EA0-4D028EB8A295}"/>
            </a:ext>
          </a:extLst>
        </xdr:cNvPr>
        <xdr:cNvSpPr/>
      </xdr:nvSpPr>
      <xdr:spPr>
        <a:xfrm>
          <a:off x="32359600" y="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9525</xdr:rowOff>
    </xdr:from>
    <xdr:to>
      <xdr:col>6</xdr:col>
      <xdr:colOff>66675</xdr:colOff>
      <xdr:row>1</xdr:row>
      <xdr:rowOff>266700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CB223-D1B5-44F6-8054-D62E099382DE}"/>
            </a:ext>
          </a:extLst>
        </xdr:cNvPr>
        <xdr:cNvSpPr/>
      </xdr:nvSpPr>
      <xdr:spPr>
        <a:xfrm>
          <a:off x="7143750" y="9525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9525</xdr:rowOff>
    </xdr:from>
    <xdr:to>
      <xdr:col>6</xdr:col>
      <xdr:colOff>66675</xdr:colOff>
      <xdr:row>1</xdr:row>
      <xdr:rowOff>266700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ED249A-3C96-4A71-86F4-35D1274E8060}"/>
            </a:ext>
          </a:extLst>
        </xdr:cNvPr>
        <xdr:cNvSpPr/>
      </xdr:nvSpPr>
      <xdr:spPr>
        <a:xfrm>
          <a:off x="7143750" y="9525"/>
          <a:ext cx="752475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25400</xdr:rowOff>
    </xdr:from>
    <xdr:to>
      <xdr:col>1</xdr:col>
      <xdr:colOff>714375</xdr:colOff>
      <xdr:row>3</xdr:row>
      <xdr:rowOff>53975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13F53C-994E-48AA-A0F2-9FDDA3F5651A}"/>
            </a:ext>
          </a:extLst>
        </xdr:cNvPr>
        <xdr:cNvSpPr/>
      </xdr:nvSpPr>
      <xdr:spPr>
        <a:xfrm>
          <a:off x="457200" y="254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33</xdr:col>
      <xdr:colOff>165100</xdr:colOff>
      <xdr:row>1</xdr:row>
      <xdr:rowOff>25400</xdr:rowOff>
    </xdr:from>
    <xdr:to>
      <xdr:col>34</xdr:col>
      <xdr:colOff>155575</xdr:colOff>
      <xdr:row>3</xdr:row>
      <xdr:rowOff>53975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04800C-33B3-4833-A21E-4B8FE82EA843}"/>
            </a:ext>
          </a:extLst>
        </xdr:cNvPr>
        <xdr:cNvSpPr/>
      </xdr:nvSpPr>
      <xdr:spPr>
        <a:xfrm>
          <a:off x="42100500" y="254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23</xdr:row>
      <xdr:rowOff>50800</xdr:rowOff>
    </xdr:from>
    <xdr:to>
      <xdr:col>1</xdr:col>
      <xdr:colOff>53975</xdr:colOff>
      <xdr:row>25</xdr:row>
      <xdr:rowOff>104775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77795B-5D57-4085-9856-8765F474512B}"/>
            </a:ext>
          </a:extLst>
        </xdr:cNvPr>
        <xdr:cNvSpPr/>
      </xdr:nvSpPr>
      <xdr:spPr>
        <a:xfrm>
          <a:off x="63500" y="449580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63500</xdr:colOff>
      <xdr:row>0</xdr:row>
      <xdr:rowOff>0</xdr:rowOff>
    </xdr:from>
    <xdr:to>
      <xdr:col>14</xdr:col>
      <xdr:colOff>53975</xdr:colOff>
      <xdr:row>2</xdr:row>
      <xdr:rowOff>53975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4E636B-1764-4F4A-9075-FC061C42AC24}"/>
            </a:ext>
          </a:extLst>
        </xdr:cNvPr>
        <xdr:cNvSpPr/>
      </xdr:nvSpPr>
      <xdr:spPr>
        <a:xfrm>
          <a:off x="24993600" y="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6</xdr:col>
      <xdr:colOff>28575</xdr:colOff>
      <xdr:row>1</xdr:row>
      <xdr:rowOff>66675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370AAC-81BD-4B49-A835-DA6553015A99}"/>
            </a:ext>
          </a:extLst>
        </xdr:cNvPr>
        <xdr:cNvSpPr/>
      </xdr:nvSpPr>
      <xdr:spPr>
        <a:xfrm>
          <a:off x="5816600" y="0"/>
          <a:ext cx="75247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rro/Documents/GESTION%20DE%20RIESGO/matrices/Matriz%20de%20Riesgos%20Final%20modific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Ctrl"/>
      <sheetName val="BLista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Caracterizacion"/>
      <sheetName val="Clientes"/>
      <sheetName val="Proveedores"/>
      <sheetName val="Acreedores"/>
      <sheetName val="Socios"/>
      <sheetName val="Entidad G"/>
      <sheetName val="Directivos"/>
      <sheetName val="Empleados"/>
      <sheetName val="Sindicato"/>
      <sheetName val="Maestro Riesgo"/>
      <sheetName val="Maestro de Procesos"/>
      <sheetName val="Controles"/>
      <sheetName val="Planes de Accion"/>
      <sheetName val="Maestro de Funcionarios"/>
      <sheetName val="Hoja3"/>
    </sheetNames>
    <sheetDataSet>
      <sheetData sheetId="0"/>
      <sheetData sheetId="1">
        <row r="4">
          <cell r="B4" t="str">
            <v>Legal</v>
          </cell>
        </row>
        <row r="5">
          <cell r="B5" t="str">
            <v>Operativo</v>
          </cell>
        </row>
        <row r="6">
          <cell r="B6" t="str">
            <v>Reputacional</v>
          </cell>
        </row>
        <row r="7">
          <cell r="B7" t="str">
            <v>De Contagio</v>
          </cell>
        </row>
        <row r="8">
          <cell r="B8">
            <v>0</v>
          </cell>
        </row>
        <row r="9">
          <cell r="B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:M33"/>
  <sheetViews>
    <sheetView tabSelected="1" topLeftCell="A4" zoomScaleNormal="100" workbookViewId="0"/>
  </sheetViews>
  <sheetFormatPr baseColWidth="10" defaultColWidth="11.42578125" defaultRowHeight="14.25" x14ac:dyDescent="0.2"/>
  <cols>
    <col min="1" max="3" width="2.140625" style="123" customWidth="1"/>
    <col min="4" max="4" width="11.42578125" style="123"/>
    <col min="5" max="5" width="3.85546875" style="123" customWidth="1"/>
    <col min="6" max="11" width="11.42578125" style="123"/>
    <col min="12" max="12" width="1.85546875" style="123" customWidth="1"/>
    <col min="13" max="16384" width="11.42578125" style="123"/>
  </cols>
  <sheetData>
    <row r="1" spans="4:13" ht="6.75" customHeight="1" x14ac:dyDescent="0.2"/>
    <row r="2" spans="4:13" ht="6" customHeight="1" x14ac:dyDescent="0.2"/>
    <row r="3" spans="4:13" x14ac:dyDescent="0.2"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4:13" ht="26.25" x14ac:dyDescent="0.4">
      <c r="D4" s="124"/>
      <c r="E4" s="245" t="s">
        <v>244</v>
      </c>
      <c r="F4" s="124"/>
      <c r="G4" s="245"/>
      <c r="H4" s="244"/>
      <c r="I4" s="244"/>
      <c r="J4" s="244"/>
      <c r="K4" s="244"/>
      <c r="L4" s="244"/>
      <c r="M4" s="124"/>
    </row>
    <row r="5" spans="4:13" ht="23.25" x14ac:dyDescent="0.35">
      <c r="D5" s="124"/>
      <c r="E5" s="124"/>
      <c r="F5" s="251" t="s">
        <v>136</v>
      </c>
      <c r="G5" s="251"/>
      <c r="H5" s="251"/>
      <c r="I5" s="251"/>
      <c r="J5" s="251"/>
      <c r="K5" s="124"/>
      <c r="L5" s="124"/>
      <c r="M5" s="124"/>
    </row>
    <row r="6" spans="4:13" x14ac:dyDescent="0.2"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4:13" ht="15" x14ac:dyDescent="0.25">
      <c r="D7" s="124"/>
      <c r="E7" s="124"/>
      <c r="F7" s="252" t="s">
        <v>0</v>
      </c>
      <c r="G7" s="252"/>
      <c r="H7" s="252"/>
      <c r="I7" s="252"/>
      <c r="J7" s="252"/>
      <c r="K7" s="124"/>
      <c r="L7" s="124"/>
      <c r="M7" s="124"/>
    </row>
    <row r="8" spans="4:13" ht="15" thickBot="1" x14ac:dyDescent="0.25"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4:13" ht="18" thickTop="1" thickBot="1" x14ac:dyDescent="0.3">
      <c r="D9" s="124"/>
      <c r="E9" s="125"/>
      <c r="F9" s="126"/>
      <c r="G9" s="126"/>
      <c r="H9" s="126"/>
      <c r="I9" s="126"/>
      <c r="J9" s="127"/>
      <c r="K9" s="124"/>
      <c r="L9" s="124"/>
      <c r="M9" s="124"/>
    </row>
    <row r="10" spans="4:13" ht="18" thickTop="1" thickBot="1" x14ac:dyDescent="0.3">
      <c r="D10" s="124"/>
      <c r="E10" s="128"/>
      <c r="F10" s="139">
        <v>1</v>
      </c>
      <c r="G10" s="249" t="s">
        <v>1</v>
      </c>
      <c r="H10" s="249"/>
      <c r="I10" s="250"/>
      <c r="J10" s="130"/>
      <c r="K10" s="124"/>
      <c r="L10" s="124"/>
      <c r="M10" s="124"/>
    </row>
    <row r="11" spans="4:13" ht="18" thickTop="1" thickBot="1" x14ac:dyDescent="0.3">
      <c r="D11" s="124"/>
      <c r="E11" s="128"/>
      <c r="F11" s="129"/>
      <c r="G11" s="131"/>
      <c r="H11" s="131"/>
      <c r="I11" s="131"/>
      <c r="J11" s="130"/>
      <c r="K11" s="124"/>
      <c r="L11" s="124"/>
      <c r="M11" s="124"/>
    </row>
    <row r="12" spans="4:13" ht="18" thickTop="1" thickBot="1" x14ac:dyDescent="0.3">
      <c r="D12" s="124"/>
      <c r="E12" s="128"/>
      <c r="F12" s="139">
        <v>2</v>
      </c>
      <c r="G12" s="249" t="s">
        <v>2</v>
      </c>
      <c r="H12" s="249"/>
      <c r="I12" s="250"/>
      <c r="J12" s="130"/>
      <c r="K12" s="124"/>
      <c r="L12" s="124"/>
      <c r="M12" s="124"/>
    </row>
    <row r="13" spans="4:13" ht="18" thickTop="1" thickBot="1" x14ac:dyDescent="0.3">
      <c r="D13" s="124"/>
      <c r="E13" s="128"/>
      <c r="F13" s="129"/>
      <c r="G13" s="131"/>
      <c r="H13" s="131"/>
      <c r="I13" s="131"/>
      <c r="J13" s="130"/>
      <c r="K13" s="124"/>
      <c r="L13" s="124"/>
      <c r="M13" s="124"/>
    </row>
    <row r="14" spans="4:13" ht="18" thickTop="1" thickBot="1" x14ac:dyDescent="0.3">
      <c r="D14" s="124"/>
      <c r="E14" s="128"/>
      <c r="F14" s="139">
        <v>3</v>
      </c>
      <c r="G14" s="249" t="s">
        <v>37</v>
      </c>
      <c r="H14" s="249"/>
      <c r="I14" s="250"/>
      <c r="J14" s="130"/>
      <c r="K14" s="124"/>
      <c r="L14" s="124"/>
      <c r="M14" s="124"/>
    </row>
    <row r="15" spans="4:13" ht="18" thickTop="1" thickBot="1" x14ac:dyDescent="0.3">
      <c r="D15" s="124"/>
      <c r="E15" s="128"/>
      <c r="F15" s="129"/>
      <c r="G15" s="131"/>
      <c r="H15" s="131"/>
      <c r="I15" s="131"/>
      <c r="J15" s="130"/>
      <c r="K15" s="124"/>
      <c r="L15" s="124"/>
      <c r="M15" s="124"/>
    </row>
    <row r="16" spans="4:13" ht="18" thickTop="1" thickBot="1" x14ac:dyDescent="0.3">
      <c r="D16" s="124"/>
      <c r="E16" s="128"/>
      <c r="F16" s="139">
        <v>4</v>
      </c>
      <c r="G16" s="249" t="s">
        <v>146</v>
      </c>
      <c r="H16" s="249"/>
      <c r="I16" s="250"/>
      <c r="J16" s="130"/>
      <c r="K16" s="124"/>
      <c r="L16" s="124"/>
      <c r="M16" s="124"/>
    </row>
    <row r="17" spans="4:13" ht="18" thickTop="1" thickBot="1" x14ac:dyDescent="0.3">
      <c r="D17" s="124"/>
      <c r="E17" s="128"/>
      <c r="F17" s="129"/>
      <c r="G17" s="131"/>
      <c r="H17" s="131"/>
      <c r="I17" s="131"/>
      <c r="J17" s="130"/>
      <c r="K17" s="124"/>
      <c r="L17" s="124"/>
      <c r="M17" s="124"/>
    </row>
    <row r="18" spans="4:13" ht="18" thickTop="1" thickBot="1" x14ac:dyDescent="0.3">
      <c r="D18" s="124"/>
      <c r="E18" s="128"/>
      <c r="F18" s="139">
        <v>5</v>
      </c>
      <c r="G18" s="249" t="s">
        <v>3</v>
      </c>
      <c r="H18" s="249"/>
      <c r="I18" s="250"/>
      <c r="J18" s="130"/>
      <c r="K18" s="124"/>
      <c r="L18" s="124"/>
      <c r="M18" s="124"/>
    </row>
    <row r="19" spans="4:13" ht="18" thickTop="1" thickBot="1" x14ac:dyDescent="0.3">
      <c r="D19" s="124"/>
      <c r="E19" s="128"/>
      <c r="F19" s="129"/>
      <c r="G19" s="131"/>
      <c r="H19" s="131"/>
      <c r="I19" s="131"/>
      <c r="J19" s="130"/>
      <c r="K19" s="124"/>
      <c r="L19" s="124"/>
      <c r="M19" s="124"/>
    </row>
    <row r="20" spans="4:13" ht="18" thickTop="1" thickBot="1" x14ac:dyDescent="0.3">
      <c r="D20" s="124"/>
      <c r="E20" s="128"/>
      <c r="F20" s="139">
        <v>6</v>
      </c>
      <c r="G20" s="249" t="s">
        <v>4</v>
      </c>
      <c r="H20" s="249"/>
      <c r="I20" s="250"/>
      <c r="J20" s="130"/>
      <c r="K20" s="124"/>
      <c r="L20" s="124"/>
      <c r="M20" s="124"/>
    </row>
    <row r="21" spans="4:13" ht="18" thickTop="1" thickBot="1" x14ac:dyDescent="0.3">
      <c r="D21" s="124"/>
      <c r="E21" s="128"/>
      <c r="F21" s="129"/>
      <c r="G21" s="131"/>
      <c r="H21" s="131"/>
      <c r="I21" s="131"/>
      <c r="J21" s="130"/>
      <c r="K21" s="124"/>
      <c r="L21" s="124"/>
      <c r="M21" s="124"/>
    </row>
    <row r="22" spans="4:13" ht="18" thickTop="1" thickBot="1" x14ac:dyDescent="0.3">
      <c r="D22" s="124"/>
      <c r="E22" s="128"/>
      <c r="F22" s="139">
        <v>7</v>
      </c>
      <c r="G22" s="249" t="s">
        <v>153</v>
      </c>
      <c r="H22" s="249"/>
      <c r="I22" s="250"/>
      <c r="J22" s="130"/>
      <c r="K22" s="124"/>
      <c r="L22" s="124"/>
      <c r="M22" s="124"/>
    </row>
    <row r="23" spans="4:13" ht="18" thickTop="1" thickBot="1" x14ac:dyDescent="0.3">
      <c r="D23" s="124"/>
      <c r="E23" s="128"/>
      <c r="F23" s="129"/>
      <c r="G23" s="131"/>
      <c r="H23" s="131"/>
      <c r="I23" s="131"/>
      <c r="J23" s="130"/>
      <c r="K23" s="124"/>
      <c r="L23" s="124"/>
      <c r="M23" s="124"/>
    </row>
    <row r="24" spans="4:13" ht="18" thickTop="1" thickBot="1" x14ac:dyDescent="0.3">
      <c r="D24" s="124"/>
      <c r="E24" s="128"/>
      <c r="F24" s="139">
        <v>8</v>
      </c>
      <c r="G24" s="249" t="s">
        <v>152</v>
      </c>
      <c r="H24" s="249"/>
      <c r="I24" s="250"/>
      <c r="J24" s="130"/>
      <c r="K24" s="124"/>
      <c r="L24" s="124"/>
      <c r="M24" s="124"/>
    </row>
    <row r="25" spans="4:13" ht="18" thickTop="1" thickBot="1" x14ac:dyDescent="0.3">
      <c r="D25" s="124"/>
      <c r="E25" s="128"/>
      <c r="F25" s="129"/>
      <c r="G25" s="131"/>
      <c r="H25" s="131"/>
      <c r="I25" s="131"/>
      <c r="J25" s="130"/>
      <c r="K25" s="124"/>
      <c r="L25" s="124"/>
      <c r="M25" s="124"/>
    </row>
    <row r="26" spans="4:13" ht="18" thickTop="1" thickBot="1" x14ac:dyDescent="0.3">
      <c r="D26" s="124"/>
      <c r="E26" s="128"/>
      <c r="F26" s="139">
        <v>9</v>
      </c>
      <c r="G26" s="249" t="s">
        <v>224</v>
      </c>
      <c r="H26" s="249"/>
      <c r="I26" s="250"/>
      <c r="J26" s="130"/>
      <c r="K26" s="124"/>
      <c r="L26" s="124"/>
      <c r="M26" s="124"/>
    </row>
    <row r="27" spans="4:13" ht="17.25" thickTop="1" x14ac:dyDescent="0.25">
      <c r="D27" s="124"/>
      <c r="E27" s="128"/>
      <c r="F27" s="129"/>
      <c r="G27" s="131"/>
      <c r="H27" s="131"/>
      <c r="I27" s="131"/>
      <c r="J27" s="130"/>
      <c r="K27" s="124"/>
      <c r="L27" s="124"/>
      <c r="M27" s="124"/>
    </row>
    <row r="28" spans="4:13" ht="17.25" thickBot="1" x14ac:dyDescent="0.3">
      <c r="D28" s="124"/>
      <c r="E28" s="132"/>
      <c r="F28" s="133"/>
      <c r="G28" s="134"/>
      <c r="H28" s="134"/>
      <c r="I28" s="134"/>
      <c r="J28" s="135"/>
      <c r="K28" s="124"/>
      <c r="L28" s="124"/>
      <c r="M28" s="124"/>
    </row>
    <row r="29" spans="4:13" ht="15.75" thickTop="1" x14ac:dyDescent="0.25">
      <c r="D29" s="136"/>
      <c r="E29" s="136"/>
      <c r="F29" s="136"/>
      <c r="G29" s="137"/>
      <c r="H29" s="137"/>
      <c r="I29" s="137"/>
      <c r="J29" s="136"/>
      <c r="K29" s="136"/>
      <c r="L29" s="136"/>
      <c r="M29" s="136"/>
    </row>
    <row r="30" spans="4:13" ht="15" x14ac:dyDescent="0.25">
      <c r="D30" s="136"/>
      <c r="E30" s="136"/>
      <c r="F30" s="136"/>
      <c r="G30" s="137"/>
      <c r="H30" s="137"/>
      <c r="I30" s="137"/>
      <c r="J30" s="136"/>
      <c r="K30" s="136"/>
      <c r="L30" s="136"/>
      <c r="M30" s="136"/>
    </row>
    <row r="31" spans="4:13" ht="15" x14ac:dyDescent="0.25">
      <c r="D31" s="136"/>
      <c r="E31" s="136"/>
      <c r="F31" s="136"/>
      <c r="G31" s="137"/>
      <c r="H31" s="137"/>
      <c r="I31" s="137"/>
      <c r="J31" s="136"/>
      <c r="K31" s="136"/>
      <c r="L31" s="136"/>
      <c r="M31" s="136"/>
    </row>
    <row r="32" spans="4:13" ht="15" x14ac:dyDescent="0.25">
      <c r="G32" s="138"/>
      <c r="H32" s="138"/>
      <c r="I32" s="138"/>
    </row>
    <row r="33" spans="7:9" ht="15" x14ac:dyDescent="0.25">
      <c r="G33" s="138"/>
      <c r="H33" s="138"/>
      <c r="I33" s="138"/>
    </row>
  </sheetData>
  <mergeCells count="11">
    <mergeCell ref="F5:J5"/>
    <mergeCell ref="F7:J7"/>
    <mergeCell ref="G10:I10"/>
    <mergeCell ref="G12:I12"/>
    <mergeCell ref="G24:I24"/>
    <mergeCell ref="G26:I26"/>
    <mergeCell ref="G14:I14"/>
    <mergeCell ref="G16:I16"/>
    <mergeCell ref="G18:I18"/>
    <mergeCell ref="G20:I20"/>
    <mergeCell ref="G22:I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5"/>
  <sheetViews>
    <sheetView zoomScale="75" zoomScaleNormal="75" workbookViewId="0">
      <selection activeCell="B2" sqref="B2"/>
    </sheetView>
  </sheetViews>
  <sheetFormatPr baseColWidth="10" defaultColWidth="11.42578125" defaultRowHeight="15" x14ac:dyDescent="0.25"/>
  <cols>
    <col min="1" max="1" width="44.7109375" style="19" customWidth="1"/>
    <col min="2" max="2" width="17.140625" style="19" customWidth="1"/>
    <col min="3" max="3" width="14.85546875" style="19" bestFit="1" customWidth="1"/>
    <col min="4" max="4" width="14.28515625" style="19" customWidth="1"/>
    <col min="5" max="5" width="10.5703125" style="19" bestFit="1" customWidth="1"/>
    <col min="6" max="16384" width="11.42578125" style="19"/>
  </cols>
  <sheetData>
    <row r="1" spans="1:5" ht="30.75" thickBot="1" x14ac:dyDescent="0.3">
      <c r="A1" s="213" t="s">
        <v>6</v>
      </c>
      <c r="B1" s="213" t="s">
        <v>13</v>
      </c>
      <c r="C1" s="213" t="s">
        <v>7</v>
      </c>
      <c r="D1" s="213" t="s">
        <v>96</v>
      </c>
      <c r="E1" s="213" t="s">
        <v>119</v>
      </c>
    </row>
    <row r="2" spans="1:5" ht="45.75" thickTop="1" x14ac:dyDescent="0.25">
      <c r="A2" s="209" t="str">
        <f>DATOS!H2</f>
        <v>Contrapartes (Clientes, Proveedores, Empleados, Accionistas, Vinculados) y Partes interesadas.</v>
      </c>
      <c r="B2" s="210">
        <f>+IF(ISERROR(AVERAGEIF('RIESGO RESIDUAL'!B:B,VLOOKUP(A2,'RIESGO RESIDUAL'!B:B,1,0),'RIESGO RESIDUAL'!J:J)),"",AVERAGEIF('RIESGO RESIDUAL'!B:B,VLOOKUP(A2,'RIESGO RESIDUAL'!B:B,1,0),'RIESGO RESIDUAL'!J:J))</f>
        <v>1.1666666666666667</v>
      </c>
      <c r="C2" s="210">
        <f>+IF(ISERROR(AVERAGEIF('RIESGO RESIDUAL'!B:B,VLOOKUP(A2,'RIESGO RESIDUAL'!B:B,1,0),'RIESGO RESIDUAL'!K:K)),"",AVERAGEIF('RIESGO RESIDUAL'!B:B,VLOOKUP(A2,'RIESGO RESIDUAL'!B:B,1,0),'RIESGO RESIDUAL'!K:K))</f>
        <v>1.1666666666666667</v>
      </c>
      <c r="D2" s="211">
        <f>IFERROR(ROUND(B2*C2,0),"")</f>
        <v>1</v>
      </c>
      <c r="E2" s="212" t="str">
        <f>IF(AND(D2&gt;=0,D2&lt;8),"BAJO",IF(AND(D2&gt;=8,D2&lt;14),"MEDIO",IF(AND(D2&gt;=14,D2&lt;20),"ALTO",IF(AND(D2&gt;=20,D2&lt;26),"EXTREMO",""))))</f>
        <v>BAJO</v>
      </c>
    </row>
    <row r="3" spans="1:5" ht="15.75" x14ac:dyDescent="0.25">
      <c r="A3" s="189" t="str">
        <f>DATOS!H3</f>
        <v>Producto</v>
      </c>
      <c r="B3" s="106">
        <f>+IF(ISERROR(AVERAGEIF('RIESGO RESIDUAL'!B:B,VLOOKUP(A3,'RIESGO RESIDUAL'!B:B,1,0),'RIESGO RESIDUAL'!J:J)),"",AVERAGEIF('RIESGO RESIDUAL'!B:B,VLOOKUP(A3,'RIESGO RESIDUAL'!B:B,1,0),'RIESGO RESIDUAL'!J:J))</f>
        <v>1</v>
      </c>
      <c r="C3" s="106">
        <f>+IF(ISERROR(AVERAGEIF('RIESGO RESIDUAL'!B:B,VLOOKUP(A3,'RIESGO RESIDUAL'!B:B,1,0),'RIESGO RESIDUAL'!K:K)),"",AVERAGEIF('RIESGO RESIDUAL'!B:B,VLOOKUP(A3,'RIESGO RESIDUAL'!B:B,1,0),'RIESGO RESIDUAL'!K:K))</f>
        <v>1</v>
      </c>
      <c r="D3" s="35">
        <f>IFERROR(ROUND(B3*C3,0),"")</f>
        <v>1</v>
      </c>
      <c r="E3" s="10" t="str">
        <f>IF(AND(D3&gt;=0,D3&lt;8),"BAJO",IF(AND(D3&gt;=8,D3&lt;14),"MEDIO",IF(AND(D3&gt;=14,D3&lt;20),"ALTO",IF(AND(D3&gt;=20,D3&lt;26),"EXTREMO",""))))</f>
        <v>BAJO</v>
      </c>
    </row>
    <row r="4" spans="1:5" ht="15.75" x14ac:dyDescent="0.25">
      <c r="A4" s="189" t="str">
        <f>DATOS!H4</f>
        <v>Canal de Distribución</v>
      </c>
      <c r="B4" s="106">
        <f>+IF(ISERROR(AVERAGEIF('RIESGO RESIDUAL'!B:B,VLOOKUP(A4,'RIESGO RESIDUAL'!B:B,1,0),'RIESGO RESIDUAL'!J:J)),"",AVERAGEIF('RIESGO RESIDUAL'!B:B,VLOOKUP(A4,'RIESGO RESIDUAL'!B:B,1,0),'RIESGO RESIDUAL'!J:J))</f>
        <v>1</v>
      </c>
      <c r="C4" s="106">
        <f>+IF(ISERROR(AVERAGEIF('RIESGO RESIDUAL'!B:B,VLOOKUP(A4,'RIESGO RESIDUAL'!B:B,1,0),'RIESGO RESIDUAL'!K:K)),"",AVERAGEIF('RIESGO RESIDUAL'!B:B,VLOOKUP(A4,'RIESGO RESIDUAL'!B:B,1,0),'RIESGO RESIDUAL'!K:K))</f>
        <v>1</v>
      </c>
      <c r="D4" s="35">
        <f>IFERROR(ROUND(B4*C4,0),"")</f>
        <v>1</v>
      </c>
      <c r="E4" s="10" t="str">
        <f>IF(AND(D4&gt;=0,D4&lt;8),"BAJO",IF(AND(D4&gt;=8,D4&lt;14),"MEDIO",IF(AND(D4&gt;=14,D4&lt;20),"ALTO",IF(AND(D4&gt;=20,D4&lt;26),"EXTREMO",""))))</f>
        <v>BAJO</v>
      </c>
    </row>
    <row r="5" spans="1:5" ht="15.75" x14ac:dyDescent="0.25">
      <c r="A5" s="189" t="str">
        <f>DATOS!H5</f>
        <v>Jurisdicción</v>
      </c>
      <c r="B5" s="106">
        <f>+IF(ISERROR(AVERAGEIF('RIESGO RESIDUAL'!B:B,VLOOKUP(A5,'RIESGO RESIDUAL'!B:B,1,0),'RIESGO RESIDUAL'!J:J)),"",AVERAGEIF('RIESGO RESIDUAL'!B:B,VLOOKUP(A5,'RIESGO RESIDUAL'!B:B,1,0),'RIESGO RESIDUAL'!J:J))</f>
        <v>1</v>
      </c>
      <c r="C5" s="106">
        <f>+IF(ISERROR(AVERAGEIF('RIESGO RESIDUAL'!B:B,VLOOKUP(A5,'RIESGO RESIDUAL'!B:B,1,0),'RIESGO RESIDUAL'!K:K)),"",AVERAGEIF('RIESGO RESIDUAL'!B:B,VLOOKUP(A5,'RIESGO RESIDUAL'!B:B,1,0),'RIESGO RESIDUAL'!K:K))</f>
        <v>1</v>
      </c>
      <c r="D5" s="35">
        <f>IFERROR(ROUND(B5*C5,0),"")</f>
        <v>1</v>
      </c>
      <c r="E5" s="10" t="str">
        <f>IF(AND(D5&gt;0,D5&lt;8),"BAJO",IF(AND(D5&gt;=8,D5&lt;14),"MEDIO",IF(AND(D5&gt;=14,D5&lt;20),"ALTO",IF(AND(D5&gt;=20,D5&lt;26),"EXTREMO",""))))</f>
        <v>BAJO</v>
      </c>
    </row>
  </sheetData>
  <conditionalFormatting sqref="E2">
    <cfRule type="cellIs" dxfId="19" priority="21" operator="equal">
      <formula>"BAJO"</formula>
    </cfRule>
    <cfRule type="cellIs" dxfId="18" priority="22" operator="equal">
      <formula>"MEDIO"</formula>
    </cfRule>
    <cfRule type="cellIs" dxfId="17" priority="23" operator="equal">
      <formula>"EXTREMO"</formula>
    </cfRule>
    <cfRule type="cellIs" dxfId="16" priority="24" operator="equal">
      <formula>"ALTO"</formula>
    </cfRule>
  </conditionalFormatting>
  <conditionalFormatting sqref="E5">
    <cfRule type="cellIs" dxfId="15" priority="9" operator="equal">
      <formula>"BAJO"</formula>
    </cfRule>
    <cfRule type="cellIs" dxfId="14" priority="10" operator="equal">
      <formula>"MEDIO"</formula>
    </cfRule>
    <cfRule type="cellIs" dxfId="13" priority="11" operator="equal">
      <formula>"EXTREMO"</formula>
    </cfRule>
    <cfRule type="cellIs" dxfId="12" priority="12" operator="equal">
      <formula>"ALTO"</formula>
    </cfRule>
  </conditionalFormatting>
  <conditionalFormatting sqref="E3">
    <cfRule type="cellIs" dxfId="11" priority="5" operator="equal">
      <formula>"BAJO"</formula>
    </cfRule>
    <cfRule type="cellIs" dxfId="10" priority="6" operator="equal">
      <formula>"MEDIO"</formula>
    </cfRule>
    <cfRule type="cellIs" dxfId="9" priority="7" operator="equal">
      <formula>"EXTREMO"</formula>
    </cfRule>
    <cfRule type="cellIs" dxfId="8" priority="8" operator="equal">
      <formula>"ALTO"</formula>
    </cfRule>
  </conditionalFormatting>
  <conditionalFormatting sqref="E4">
    <cfRule type="cellIs" dxfId="7" priority="1" operator="equal">
      <formula>"BAJO"</formula>
    </cfRule>
    <cfRule type="cellIs" dxfId="6" priority="2" operator="equal">
      <formula>"MEDIO"</formula>
    </cfRule>
    <cfRule type="cellIs" dxfId="5" priority="3" operator="equal">
      <formula>"EXTREMO"</formula>
    </cfRule>
    <cfRule type="cellIs" dxfId="4" priority="4" operator="equal">
      <formula>"ALTO"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7" sqref="A7"/>
    </sheetView>
  </sheetViews>
  <sheetFormatPr baseColWidth="10" defaultRowHeight="15" x14ac:dyDescent="0.25"/>
  <cols>
    <col min="1" max="1" width="13.42578125" style="19" bestFit="1" customWidth="1"/>
    <col min="2" max="2" width="14.140625" style="26" bestFit="1" customWidth="1"/>
    <col min="3" max="3" width="14.85546875" style="26" bestFit="1" customWidth="1"/>
    <col min="4" max="16384" width="11.42578125" style="19"/>
  </cols>
  <sheetData>
    <row r="1" spans="1:5" ht="30" x14ac:dyDescent="0.25">
      <c r="A1" s="193" t="str">
        <f>+'RIESGO INHERENTE'!D11</f>
        <v>PROCESOS</v>
      </c>
      <c r="B1" s="193" t="str">
        <f>'CONSOLIDADOXFACTOR RI'!B1</f>
        <v>PROBABILIDAD</v>
      </c>
      <c r="C1" s="193" t="str">
        <f>'CONSOLIDADOXFACTOR RI'!C1</f>
        <v>CONSECUENCIA</v>
      </c>
      <c r="D1" s="193" t="s">
        <v>43</v>
      </c>
      <c r="E1" s="193" t="s">
        <v>46</v>
      </c>
    </row>
    <row r="2" spans="1:5" x14ac:dyDescent="0.25">
      <c r="A2" s="99" t="str">
        <f>+DATOS!AS2</f>
        <v>Financiero</v>
      </c>
      <c r="B2" s="58">
        <f>+IF(ISERROR(AVERAGEIF('RIESGO RESIDUAL'!E:E,VLOOKUP(A2,DATOS!AS:AS,1,0),'RIESGO RESIDUAL'!J:J)),"",AVERAGEIF('RIESGO RESIDUAL'!E:E,VLOOKUP(A2,DATOS!AS:AS,1,0),'RIESGO RESIDUAL'!J:J))</f>
        <v>1.25</v>
      </c>
      <c r="C2" s="58">
        <f>+IF(ISERROR(AVERAGEIF('RIESGO RESIDUAL'!E:E,VLOOKUP(A2,DATOS!AS:AS,1,0),'RIESGO RESIDUAL'!K:K)),"",AVERAGEIF('RIESGO RESIDUAL'!E:E,VLOOKUP(A2,DATOS!AS:AS,1,0),'RIESGO RESIDUAL'!K:K))</f>
        <v>1.25</v>
      </c>
      <c r="D2" s="99">
        <f>+IF(ISERROR(ROUNDDOWN(B2*C2,0)),"",ROUNDDOWN(B2*C2,0))</f>
        <v>1</v>
      </c>
      <c r="E2" s="192" t="str">
        <f>+IF(ISERROR(VLOOKUP(D2,DATOS!V:W,2,0)),"",VLOOKUP(D2,DATOS!V:W,2,0))</f>
        <v>BAJO</v>
      </c>
    </row>
    <row r="3" spans="1:5" x14ac:dyDescent="0.25">
      <c r="A3" s="22" t="str">
        <f>+DATOS!AS3</f>
        <v>Gestión Humana</v>
      </c>
      <c r="B3" s="58" t="str">
        <f>+IF(ISERROR(AVERAGEIF('RIESGO RESIDUAL'!E:E,VLOOKUP(A3,DATOS!AS:AS,1,0),'RIESGO RESIDUAL'!J:J)),"",AVERAGEIF('RIESGO RESIDUAL'!E:E,VLOOKUP(A3,DATOS!AS:AS,1,0),'RIESGO RESIDUAL'!J:J))</f>
        <v/>
      </c>
      <c r="C3" s="58" t="str">
        <f>+IF(ISERROR(AVERAGEIF('RIESGO RESIDUAL'!E:E,VLOOKUP(A3,DATOS!AS:AS,1,0),'RIESGO RESIDUAL'!K:K)),"",AVERAGEIF('RIESGO RESIDUAL'!E:E,VLOOKUP(A3,DATOS!AS:AS,1,0),'RIESGO RESIDUAL'!K:K))</f>
        <v/>
      </c>
      <c r="D3" s="22" t="str">
        <f t="shared" ref="D3:D17" si="0">+IF(ISERROR(ROUNDDOWN(B3*C3,0)),"",ROUNDDOWN(B3*C3,0))</f>
        <v/>
      </c>
      <c r="E3" s="107" t="str">
        <f>+IF(ISERROR(VLOOKUP(D3,DATOS!V:W,2,0)),"",VLOOKUP(D3,DATOS!V:W,2,0))</f>
        <v/>
      </c>
    </row>
    <row r="4" spans="1:5" x14ac:dyDescent="0.25">
      <c r="A4" s="22" t="str">
        <f>+DATOS!AS4</f>
        <v>Comercial</v>
      </c>
      <c r="B4" s="58">
        <f>+IF(ISERROR(AVERAGEIF('RIESGO RESIDUAL'!E:E,VLOOKUP(A4,DATOS!AS:AS,1,0),'RIESGO RESIDUAL'!J:J)),"",AVERAGEIF('RIESGO RESIDUAL'!E:E,VLOOKUP(A4,DATOS!AS:AS,1,0),'RIESGO RESIDUAL'!J:J))</f>
        <v>1</v>
      </c>
      <c r="C4" s="58">
        <f>+IF(ISERROR(AVERAGEIF('RIESGO RESIDUAL'!E:E,VLOOKUP(A4,DATOS!AS:AS,1,0),'RIESGO RESIDUAL'!K:K)),"",AVERAGEIF('RIESGO RESIDUAL'!E:E,VLOOKUP(A4,DATOS!AS:AS,1,0),'RIESGO RESIDUAL'!K:K))</f>
        <v>1</v>
      </c>
      <c r="D4" s="22">
        <f t="shared" si="0"/>
        <v>1</v>
      </c>
      <c r="E4" s="107" t="str">
        <f>+IF(ISERROR(VLOOKUP(D4,DATOS!V:W,2,0)),"",VLOOKUP(D4,DATOS!V:W,2,0))</f>
        <v>BAJO</v>
      </c>
    </row>
    <row r="5" spans="1:5" x14ac:dyDescent="0.25">
      <c r="A5" s="22" t="str">
        <f>+DATOS!AS5</f>
        <v>Jurídica</v>
      </c>
      <c r="B5" s="58">
        <f>+IF(ISERROR(AVERAGEIF('RIESGO RESIDUAL'!E:E,VLOOKUP(A5,DATOS!AS:AS,1,0),'RIESGO RESIDUAL'!J:J)),"",AVERAGEIF('RIESGO RESIDUAL'!E:E,VLOOKUP(A5,DATOS!AS:AS,1,0),'RIESGO RESIDUAL'!J:J))</f>
        <v>1</v>
      </c>
      <c r="C5" s="58">
        <f>+IF(ISERROR(AVERAGEIF('RIESGO RESIDUAL'!E:E,VLOOKUP(A5,DATOS!AS:AS,1,0),'RIESGO RESIDUAL'!K:K)),"",AVERAGEIF('RIESGO RESIDUAL'!E:E,VLOOKUP(A5,DATOS!AS:AS,1,0),'RIESGO RESIDUAL'!K:K))</f>
        <v>1</v>
      </c>
      <c r="D5" s="22">
        <f t="shared" si="0"/>
        <v>1</v>
      </c>
      <c r="E5" s="107" t="str">
        <f>+IF(ISERROR(VLOOKUP(D5,DATOS!V:W,2,0)),"",VLOOKUP(D5,DATOS!V:W,2,0))</f>
        <v>BAJO</v>
      </c>
    </row>
    <row r="6" spans="1:5" x14ac:dyDescent="0.25">
      <c r="A6" s="22" t="str">
        <f>+DATOS!AS6</f>
        <v>Nuevos desarrollos</v>
      </c>
      <c r="B6" s="58">
        <f>+IF(ISERROR(AVERAGEIF('RIESGO RESIDUAL'!E:E,VLOOKUP(A6,DATOS!AS:AS,1,0),'RIESGO RESIDUAL'!J:J)),"",AVERAGEIF('RIESGO RESIDUAL'!E:E,VLOOKUP(A6,DATOS!AS:AS,1,0),'RIESGO RESIDUAL'!J:J))</f>
        <v>1</v>
      </c>
      <c r="C6" s="58">
        <f>+IF(ISERROR(AVERAGEIF('RIESGO RESIDUAL'!E:E,VLOOKUP(A6,DATOS!AS:AS,1,0),'RIESGO RESIDUAL'!K:K)),"",AVERAGEIF('RIESGO RESIDUAL'!E:E,VLOOKUP(A6,DATOS!AS:AS,1,0),'RIESGO RESIDUAL'!K:K))</f>
        <v>1</v>
      </c>
      <c r="D6" s="22">
        <f t="shared" si="0"/>
        <v>1</v>
      </c>
      <c r="E6" s="107" t="str">
        <f>+IF(ISERROR(VLOOKUP(D6,DATOS!V:W,2,0)),"",VLOOKUP(D6,DATOS!V:W,2,0))</f>
        <v>BAJO</v>
      </c>
    </row>
    <row r="7" spans="1:5" x14ac:dyDescent="0.25">
      <c r="A7" s="22" t="str">
        <f>+DATOS!AS7</f>
        <v>Operaciones</v>
      </c>
      <c r="B7" s="58">
        <f>+IF(ISERROR(AVERAGEIF('RIESGO RESIDUAL'!E:E,VLOOKUP(A7,DATOS!AS:AS,1,0),'RIESGO RESIDUAL'!J:J)),"",AVERAGEIF('RIESGO RESIDUAL'!E:E,VLOOKUP(A7,DATOS!AS:AS,1,0),'RIESGO RESIDUAL'!J:J))</f>
        <v>1.1428571428571428</v>
      </c>
      <c r="C7" s="58">
        <f>+IF(ISERROR(AVERAGEIF('RIESGO RESIDUAL'!E:E,VLOOKUP(A7,DATOS!AS:AS,1,0),'RIESGO RESIDUAL'!K:K)),"",AVERAGEIF('RIESGO RESIDUAL'!E:E,VLOOKUP(A7,DATOS!AS:AS,1,0),'RIESGO RESIDUAL'!K:K))</f>
        <v>1.1428571428571428</v>
      </c>
      <c r="D7" s="22">
        <f t="shared" si="0"/>
        <v>1</v>
      </c>
      <c r="E7" s="107" t="str">
        <f>+IF(ISERROR(VLOOKUP(D7,DATOS!V:W,2,0)),"",VLOOKUP(D7,DATOS!V:W,2,0))</f>
        <v>BAJO</v>
      </c>
    </row>
    <row r="8" spans="1:5" x14ac:dyDescent="0.25">
      <c r="A8" s="22" t="str">
        <f>+DATOS!AS8</f>
        <v>publicidad</v>
      </c>
      <c r="B8" s="58" t="str">
        <f>+IF(ISERROR(AVERAGEIF('RIESGO RESIDUAL'!E:E,VLOOKUP(A8,DATOS!AS:AS,1,0),'RIESGO RESIDUAL'!J:J)),"",AVERAGEIF('RIESGO RESIDUAL'!E:E,VLOOKUP(A8,DATOS!AS:AS,1,0),'RIESGO RESIDUAL'!J:J))</f>
        <v/>
      </c>
      <c r="C8" s="58" t="str">
        <f>+IF(ISERROR(AVERAGEIF('RIESGO RESIDUAL'!E:E,VLOOKUP(A8,DATOS!AS:AS,1,0),'RIESGO RESIDUAL'!K:K)),"",AVERAGEIF('RIESGO RESIDUAL'!E:E,VLOOKUP(A8,DATOS!AS:AS,1,0),'RIESGO RESIDUAL'!K:K))</f>
        <v/>
      </c>
      <c r="D8" s="22" t="str">
        <f t="shared" si="0"/>
        <v/>
      </c>
      <c r="E8" s="107" t="str">
        <f>+IF(ISERROR(VLOOKUP(D8,DATOS!V:W,2,0)),"",VLOOKUP(D8,DATOS!V:W,2,0))</f>
        <v/>
      </c>
    </row>
    <row r="9" spans="1:5" x14ac:dyDescent="0.25">
      <c r="A9" s="22" t="str">
        <f>+DATOS!AS9</f>
        <v>Proceso 8</v>
      </c>
      <c r="B9" s="58" t="str">
        <f>+IF(ISERROR(AVERAGEIF('RIESGO RESIDUAL'!E:E,VLOOKUP(A9,DATOS!AS:AS,1,0),'RIESGO RESIDUAL'!J:J)),"",AVERAGEIF('RIESGO RESIDUAL'!E:E,VLOOKUP(A9,DATOS!AS:AS,1,0),'RIESGO RESIDUAL'!J:J))</f>
        <v/>
      </c>
      <c r="C9" s="58" t="str">
        <f>+IF(ISERROR(AVERAGEIF('RIESGO RESIDUAL'!E:E,VLOOKUP(A9,DATOS!AS:AS,1,0),'RIESGO RESIDUAL'!K:K)),"",AVERAGEIF('RIESGO RESIDUAL'!E:E,VLOOKUP(A9,DATOS!AS:AS,1,0),'RIESGO RESIDUAL'!K:K))</f>
        <v/>
      </c>
      <c r="D9" s="22" t="str">
        <f t="shared" si="0"/>
        <v/>
      </c>
      <c r="E9" s="107" t="str">
        <f>+IF(ISERROR(VLOOKUP(D9,DATOS!V:W,2,0)),"",VLOOKUP(D9,DATOS!V:W,2,0))</f>
        <v/>
      </c>
    </row>
    <row r="10" spans="1:5" x14ac:dyDescent="0.25">
      <c r="A10" s="22" t="str">
        <f>+DATOS!AS10</f>
        <v>Proceso 9</v>
      </c>
      <c r="B10" s="58" t="str">
        <f>+IF(ISERROR(AVERAGEIF('RIESGO RESIDUAL'!E:E,VLOOKUP(A10,DATOS!AS:AS,1,0),'RIESGO RESIDUAL'!J:J)),"",AVERAGEIF('RIESGO RESIDUAL'!E:E,VLOOKUP(A10,DATOS!AS:AS,1,0),'RIESGO RESIDUAL'!J:J))</f>
        <v/>
      </c>
      <c r="C10" s="58" t="str">
        <f>+IF(ISERROR(AVERAGEIF('RIESGO RESIDUAL'!E:E,VLOOKUP(A10,DATOS!AS:AS,1,0),'RIESGO RESIDUAL'!K:K)),"",AVERAGEIF('RIESGO RESIDUAL'!E:E,VLOOKUP(A10,DATOS!AS:AS,1,0),'RIESGO RESIDUAL'!K:K))</f>
        <v/>
      </c>
      <c r="D10" s="22" t="str">
        <f t="shared" si="0"/>
        <v/>
      </c>
      <c r="E10" s="107" t="str">
        <f>+IF(ISERROR(VLOOKUP(D10,DATOS!V:W,2,0)),"",VLOOKUP(D10,DATOS!V:W,2,0))</f>
        <v/>
      </c>
    </row>
    <row r="11" spans="1:5" x14ac:dyDescent="0.25">
      <c r="A11" s="22" t="str">
        <f>+DATOS!AS11</f>
        <v>Proceso 10</v>
      </c>
      <c r="B11" s="58">
        <f>+IF(ISERROR(AVERAGEIF('RIESGO RESIDUAL'!E:E,VLOOKUP(A11,DATOS!AS:AS,1,0),'RIESGO RESIDUAL'!J:J)),"",AVERAGEIF('RIESGO RESIDUAL'!E:E,VLOOKUP(A11,DATOS!AS:AS,1,0),'RIESGO RESIDUAL'!J:J))</f>
        <v>1</v>
      </c>
      <c r="C11" s="58">
        <f>+IF(ISERROR(AVERAGEIF('RIESGO RESIDUAL'!E:E,VLOOKUP(A11,DATOS!AS:AS,1,0),'RIESGO RESIDUAL'!K:K)),"",AVERAGEIF('RIESGO RESIDUAL'!E:E,VLOOKUP(A11,DATOS!AS:AS,1,0),'RIESGO RESIDUAL'!K:K))</f>
        <v>1</v>
      </c>
      <c r="D11" s="22">
        <f t="shared" si="0"/>
        <v>1</v>
      </c>
      <c r="E11" s="107" t="str">
        <f>+IF(ISERROR(VLOOKUP(D11,DATOS!V:W,2,0)),"",VLOOKUP(D11,DATOS!V:W,2,0))</f>
        <v>BAJO</v>
      </c>
    </row>
    <row r="12" spans="1:5" x14ac:dyDescent="0.25">
      <c r="A12" s="22" t="str">
        <f>+DATOS!AS12</f>
        <v>Proceso 11</v>
      </c>
      <c r="B12" s="58" t="str">
        <f>+IF(ISERROR(AVERAGEIF('RIESGO RESIDUAL'!E:E,VLOOKUP(A12,DATOS!AS:AS,1,0),'RIESGO RESIDUAL'!J:J)),"",AVERAGEIF('RIESGO RESIDUAL'!E:E,VLOOKUP(A12,DATOS!AS:AS,1,0),'RIESGO RESIDUAL'!J:J))</f>
        <v/>
      </c>
      <c r="C12" s="58" t="str">
        <f>+IF(ISERROR(AVERAGEIF('RIESGO RESIDUAL'!E:E,VLOOKUP(A12,DATOS!AS:AS,1,0),'RIESGO RESIDUAL'!K:K)),"",AVERAGEIF('RIESGO RESIDUAL'!E:E,VLOOKUP(A12,DATOS!AS:AS,1,0),'RIESGO RESIDUAL'!K:K))</f>
        <v/>
      </c>
      <c r="D12" s="22" t="str">
        <f t="shared" si="0"/>
        <v/>
      </c>
      <c r="E12" s="107" t="str">
        <f>+IF(ISERROR(VLOOKUP(D12,DATOS!V:W,2,0)),"",VLOOKUP(D12,DATOS!V:W,2,0))</f>
        <v/>
      </c>
    </row>
    <row r="13" spans="1:5" x14ac:dyDescent="0.25">
      <c r="A13" s="22" t="str">
        <f>+DATOS!AS13</f>
        <v>Proceso 12</v>
      </c>
      <c r="B13" s="58" t="str">
        <f>+IF(ISERROR(AVERAGEIF('RIESGO RESIDUAL'!E:E,VLOOKUP(A13,DATOS!AS:AS,1,0),'RIESGO RESIDUAL'!J:J)),"",AVERAGEIF('RIESGO RESIDUAL'!E:E,VLOOKUP(A13,DATOS!AS:AS,1,0),'RIESGO RESIDUAL'!J:J))</f>
        <v/>
      </c>
      <c r="C13" s="58" t="str">
        <f>+IF(ISERROR(AVERAGEIF('RIESGO RESIDUAL'!E:E,VLOOKUP(A13,DATOS!AS:AS,1,0),'RIESGO RESIDUAL'!K:K)),"",AVERAGEIF('RIESGO RESIDUAL'!E:E,VLOOKUP(A13,DATOS!AS:AS,1,0),'RIESGO RESIDUAL'!K:K))</f>
        <v/>
      </c>
      <c r="D13" s="22" t="str">
        <f t="shared" si="0"/>
        <v/>
      </c>
      <c r="E13" s="107" t="str">
        <f>+IF(ISERROR(VLOOKUP(D13,DATOS!V:W,2,0)),"",VLOOKUP(D13,DATOS!V:W,2,0))</f>
        <v/>
      </c>
    </row>
    <row r="14" spans="1:5" x14ac:dyDescent="0.25">
      <c r="A14" s="22" t="str">
        <f>+DATOS!AS14</f>
        <v>Proceso 13</v>
      </c>
      <c r="B14" s="58" t="str">
        <f>+IF(ISERROR(AVERAGEIF('RIESGO RESIDUAL'!E:E,VLOOKUP(A14,DATOS!AS:AS,1,0),'RIESGO RESIDUAL'!J:J)),"",AVERAGEIF('RIESGO RESIDUAL'!E:E,VLOOKUP(A14,DATOS!AS:AS,1,0),'RIESGO RESIDUAL'!J:J))</f>
        <v/>
      </c>
      <c r="C14" s="58" t="str">
        <f>+IF(ISERROR(AVERAGEIF('RIESGO RESIDUAL'!E:E,VLOOKUP(A14,DATOS!AS:AS,1,0),'RIESGO RESIDUAL'!K:K)),"",AVERAGEIF('RIESGO RESIDUAL'!E:E,VLOOKUP(A14,DATOS!AS:AS,1,0),'RIESGO RESIDUAL'!K:K))</f>
        <v/>
      </c>
      <c r="D14" s="22" t="str">
        <f t="shared" si="0"/>
        <v/>
      </c>
      <c r="E14" s="107" t="str">
        <f>+IF(ISERROR(VLOOKUP(D14,DATOS!V:W,2,0)),"",VLOOKUP(D14,DATOS!V:W,2,0))</f>
        <v/>
      </c>
    </row>
    <row r="15" spans="1:5" x14ac:dyDescent="0.25">
      <c r="A15" s="22" t="str">
        <f>+DATOS!AS15</f>
        <v>Proceso 14</v>
      </c>
      <c r="B15" s="58" t="str">
        <f>+IF(ISERROR(AVERAGEIF('RIESGO RESIDUAL'!E:E,VLOOKUP(A15,DATOS!AS:AS,1,0),'RIESGO RESIDUAL'!J:J)),"",AVERAGEIF('RIESGO RESIDUAL'!E:E,VLOOKUP(A15,DATOS!AS:AS,1,0),'RIESGO RESIDUAL'!J:J))</f>
        <v/>
      </c>
      <c r="C15" s="58" t="str">
        <f>+IF(ISERROR(AVERAGEIF('RIESGO RESIDUAL'!E:E,VLOOKUP(A15,DATOS!AS:AS,1,0),'RIESGO RESIDUAL'!K:K)),"",AVERAGEIF('RIESGO RESIDUAL'!E:E,VLOOKUP(A15,DATOS!AS:AS,1,0),'RIESGO RESIDUAL'!K:K))</f>
        <v/>
      </c>
      <c r="D15" s="22" t="str">
        <f t="shared" si="0"/>
        <v/>
      </c>
      <c r="E15" s="107" t="str">
        <f>+IF(ISERROR(VLOOKUP(D15,DATOS!V:W,2,0)),"",VLOOKUP(D15,DATOS!V:W,2,0))</f>
        <v/>
      </c>
    </row>
    <row r="16" spans="1:5" x14ac:dyDescent="0.25">
      <c r="A16" s="22" t="str">
        <f>+DATOS!AS16</f>
        <v>Proceso 15</v>
      </c>
      <c r="B16" s="58" t="str">
        <f>+IF(ISERROR(AVERAGEIF('RIESGO RESIDUAL'!E:E,VLOOKUP(A16,DATOS!AS:AS,1,0),'RIESGO RESIDUAL'!J:J)),"",AVERAGEIF('RIESGO RESIDUAL'!E:E,VLOOKUP(A16,DATOS!AS:AS,1,0),'RIESGO RESIDUAL'!J:J))</f>
        <v/>
      </c>
      <c r="C16" s="58" t="str">
        <f>+IF(ISERROR(AVERAGEIF('RIESGO RESIDUAL'!E:E,VLOOKUP(A16,DATOS!AS:AS,1,0),'RIESGO RESIDUAL'!K:K)),"",AVERAGEIF('RIESGO RESIDUAL'!E:E,VLOOKUP(A16,DATOS!AS:AS,1,0),'RIESGO RESIDUAL'!K:K))</f>
        <v/>
      </c>
      <c r="D16" s="22" t="str">
        <f t="shared" si="0"/>
        <v/>
      </c>
      <c r="E16" s="107" t="str">
        <f>+IF(ISERROR(VLOOKUP(D16,DATOS!V:W,2,0)),"",VLOOKUP(D16,DATOS!V:W,2,0))</f>
        <v/>
      </c>
    </row>
    <row r="17" spans="1:5" x14ac:dyDescent="0.25">
      <c r="A17" s="22" t="str">
        <f>+DATOS!AS17</f>
        <v>Proceso 16</v>
      </c>
      <c r="B17" s="58" t="str">
        <f>+IF(ISERROR(AVERAGEIF('RIESGO RESIDUAL'!E:E,VLOOKUP(A17,DATOS!AS:AS,1,0),'RIESGO RESIDUAL'!J:J)),"",AVERAGEIF('RIESGO RESIDUAL'!E:E,VLOOKUP(A17,DATOS!AS:AS,1,0),'RIESGO RESIDUAL'!J:J))</f>
        <v/>
      </c>
      <c r="C17" s="58" t="str">
        <f>+IF(ISERROR(AVERAGEIF('RIESGO RESIDUAL'!E:E,VLOOKUP(A17,DATOS!AS:AS,1,0),'RIESGO RESIDUAL'!K:K)),"",AVERAGEIF('RIESGO RESIDUAL'!E:E,VLOOKUP(A17,DATOS!AS:AS,1,0),'RIESGO RESIDUAL'!K:K))</f>
        <v/>
      </c>
      <c r="D17" s="22" t="str">
        <f t="shared" si="0"/>
        <v/>
      </c>
      <c r="E17" s="107" t="str">
        <f>+IF(ISERROR(VLOOKUP(D17,DATOS!V:W,2,0)),"",VLOOKUP(D17,DATOS!V:W,2,0))</f>
        <v/>
      </c>
    </row>
    <row r="18" spans="1:5" x14ac:dyDescent="0.25">
      <c r="B18" s="191"/>
      <c r="C18" s="191"/>
    </row>
    <row r="19" spans="1:5" x14ac:dyDescent="0.25">
      <c r="B19" s="227"/>
      <c r="C19" s="227"/>
    </row>
    <row r="20" spans="1:5" x14ac:dyDescent="0.25">
      <c r="B20" s="227"/>
      <c r="C20" s="227"/>
    </row>
    <row r="21" spans="1:5" x14ac:dyDescent="0.25">
      <c r="B21" s="227"/>
      <c r="C21" s="227"/>
    </row>
    <row r="22" spans="1:5" x14ac:dyDescent="0.25">
      <c r="B22" s="227"/>
      <c r="C22" s="227"/>
    </row>
    <row r="23" spans="1:5" x14ac:dyDescent="0.25">
      <c r="B23" s="227"/>
      <c r="C23" s="227"/>
    </row>
    <row r="24" spans="1:5" x14ac:dyDescent="0.25">
      <c r="B24" s="227"/>
      <c r="C24" s="227"/>
    </row>
    <row r="25" spans="1:5" x14ac:dyDescent="0.25">
      <c r="B25" s="227"/>
      <c r="C25" s="227"/>
    </row>
    <row r="26" spans="1:5" x14ac:dyDescent="0.25">
      <c r="B26" s="227"/>
      <c r="C26" s="227"/>
    </row>
    <row r="27" spans="1:5" x14ac:dyDescent="0.25">
      <c r="B27" s="227"/>
      <c r="C27" s="227"/>
    </row>
    <row r="28" spans="1:5" x14ac:dyDescent="0.25">
      <c r="B28" s="227"/>
      <c r="C28" s="227"/>
    </row>
    <row r="29" spans="1:5" x14ac:dyDescent="0.25">
      <c r="B29" s="227"/>
      <c r="C29" s="227"/>
    </row>
    <row r="30" spans="1:5" x14ac:dyDescent="0.25">
      <c r="B30" s="227"/>
      <c r="C30" s="227"/>
    </row>
    <row r="31" spans="1:5" x14ac:dyDescent="0.25">
      <c r="B31" s="227"/>
      <c r="C31" s="227"/>
    </row>
    <row r="32" spans="1:5" x14ac:dyDescent="0.25">
      <c r="B32" s="227"/>
      <c r="C32" s="227"/>
    </row>
    <row r="33" spans="2:3" x14ac:dyDescent="0.25">
      <c r="B33" s="227"/>
      <c r="C33" s="227"/>
    </row>
    <row r="34" spans="2:3" x14ac:dyDescent="0.25">
      <c r="B34" s="227"/>
      <c r="C34" s="227"/>
    </row>
  </sheetData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B5461E2-8F09-4742-81C4-0CE8A2E5B707}">
            <xm:f>E2=DATOS!$W$24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D28BDB03-62C1-4659-A728-51EBCBB180AB}">
            <xm:f>E2=DATOS!$W$17</xm:f>
            <x14:dxf>
              <fill>
                <patternFill>
                  <bgColor rgb="FFFFC000"/>
                </patternFill>
              </fill>
            </x14:dxf>
          </x14:cfRule>
          <x14:cfRule type="expression" priority="3" id="{C0EBB259-DA30-4E2D-A45E-189D5842A58F}">
            <xm:f>E2=DATOS!#REF!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4" id="{E884C370-1FE5-4206-815C-06446A87CF50}">
            <xm:f>E2=DATOS!$W$2</xm:f>
            <x14:dxf>
              <fill>
                <patternFill>
                  <bgColor rgb="FF00B050"/>
                </patternFill>
              </fill>
            </x14:dxf>
          </x14:cfRule>
          <xm:sqref>E2:E17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3:AE92"/>
  <sheetViews>
    <sheetView topLeftCell="A12" zoomScale="75" zoomScaleNormal="75" workbookViewId="0">
      <selection activeCell="A63" sqref="A63:T90"/>
    </sheetView>
  </sheetViews>
  <sheetFormatPr baseColWidth="10" defaultColWidth="11.42578125" defaultRowHeight="15" x14ac:dyDescent="0.25"/>
  <cols>
    <col min="1" max="16384" width="11.42578125" style="19"/>
  </cols>
  <sheetData>
    <row r="23" spans="18:31" ht="15.75" customHeight="1" x14ac:dyDescent="0.25"/>
    <row r="24" spans="18:31" ht="15" customHeight="1" thickBot="1" x14ac:dyDescent="0.3"/>
    <row r="25" spans="18:31" ht="15" customHeight="1" thickTop="1" thickBot="1" x14ac:dyDescent="0.3">
      <c r="R25" s="304" t="s">
        <v>142</v>
      </c>
      <c r="S25" s="305"/>
      <c r="T25" s="306"/>
    </row>
    <row r="26" spans="18:31" ht="15" customHeight="1" thickTop="1" x14ac:dyDescent="0.25">
      <c r="R26" s="307"/>
      <c r="S26" s="308"/>
      <c r="T26" s="309"/>
      <c r="AC26" s="194" t="s">
        <v>240</v>
      </c>
      <c r="AD26" s="195"/>
      <c r="AE26" s="196" t="s">
        <v>126</v>
      </c>
    </row>
    <row r="27" spans="18:31" ht="15.75" customHeight="1" x14ac:dyDescent="0.25">
      <c r="R27" s="307"/>
      <c r="S27" s="308"/>
      <c r="T27" s="309"/>
      <c r="AC27" s="197" t="s">
        <v>241</v>
      </c>
      <c r="AD27" s="26"/>
      <c r="AE27" s="198" t="s">
        <v>127</v>
      </c>
    </row>
    <row r="28" spans="18:31" ht="15.75" customHeight="1" x14ac:dyDescent="0.25">
      <c r="R28" s="307"/>
      <c r="S28" s="308"/>
      <c r="T28" s="309"/>
      <c r="AC28" s="197" t="s">
        <v>242</v>
      </c>
      <c r="AD28" s="26"/>
      <c r="AE28" s="198" t="s">
        <v>128</v>
      </c>
    </row>
    <row r="29" spans="18:31" ht="15" customHeight="1" thickBot="1" x14ac:dyDescent="0.3">
      <c r="R29" s="310"/>
      <c r="S29" s="311"/>
      <c r="T29" s="312"/>
      <c r="AC29" s="199" t="s">
        <v>243</v>
      </c>
      <c r="AD29" s="200"/>
      <c r="AE29" s="201" t="s">
        <v>129</v>
      </c>
    </row>
    <row r="30" spans="18:31" ht="15.75" customHeight="1" thickTop="1" x14ac:dyDescent="0.25"/>
    <row r="33" spans="1:31" ht="18.75" x14ac:dyDescent="0.25">
      <c r="A33" s="303" t="s">
        <v>143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</row>
    <row r="41" spans="1:31" x14ac:dyDescent="0.25">
      <c r="Q41" s="313"/>
      <c r="R41" s="313"/>
      <c r="S41" s="313"/>
    </row>
    <row r="42" spans="1:31" x14ac:dyDescent="0.25">
      <c r="Q42" s="313"/>
      <c r="R42" s="313"/>
      <c r="S42" s="313"/>
    </row>
    <row r="43" spans="1:31" ht="15.75" thickBot="1" x14ac:dyDescent="0.3">
      <c r="Q43" s="313"/>
      <c r="R43" s="313"/>
      <c r="S43" s="313"/>
    </row>
    <row r="44" spans="1:31" ht="15.75" thickTop="1" x14ac:dyDescent="0.25">
      <c r="Q44" s="313"/>
      <c r="R44" s="313"/>
      <c r="S44" s="313"/>
      <c r="AC44" s="194" t="s">
        <v>172</v>
      </c>
      <c r="AD44" s="195"/>
      <c r="AE44" s="196" t="s">
        <v>208</v>
      </c>
    </row>
    <row r="45" spans="1:31" x14ac:dyDescent="0.25">
      <c r="Q45" s="313"/>
      <c r="R45" s="313"/>
      <c r="S45" s="313"/>
      <c r="AC45" s="197" t="s">
        <v>173</v>
      </c>
      <c r="AD45" s="26"/>
      <c r="AE45" s="198" t="s">
        <v>209</v>
      </c>
    </row>
    <row r="46" spans="1:31" x14ac:dyDescent="0.25">
      <c r="AC46" s="197" t="s">
        <v>174</v>
      </c>
      <c r="AD46" s="26"/>
      <c r="AE46" s="198" t="s">
        <v>210</v>
      </c>
    </row>
    <row r="47" spans="1:31" x14ac:dyDescent="0.25">
      <c r="AC47" s="197" t="s">
        <v>175</v>
      </c>
      <c r="AD47" s="26"/>
      <c r="AE47" s="198" t="s">
        <v>211</v>
      </c>
    </row>
    <row r="48" spans="1:31" x14ac:dyDescent="0.25">
      <c r="AC48" s="197" t="s">
        <v>176</v>
      </c>
      <c r="AD48" s="26"/>
      <c r="AE48" s="198" t="s">
        <v>212</v>
      </c>
    </row>
    <row r="49" spans="1:31" x14ac:dyDescent="0.25">
      <c r="AC49" s="197" t="s">
        <v>177</v>
      </c>
      <c r="AD49" s="26"/>
      <c r="AE49" s="198" t="s">
        <v>213</v>
      </c>
    </row>
    <row r="50" spans="1:31" x14ac:dyDescent="0.25">
      <c r="AC50" s="197" t="s">
        <v>178</v>
      </c>
      <c r="AD50" s="26"/>
      <c r="AE50" s="198" t="s">
        <v>214</v>
      </c>
    </row>
    <row r="51" spans="1:31" x14ac:dyDescent="0.25">
      <c r="AC51" s="197" t="s">
        <v>179</v>
      </c>
      <c r="AD51" s="26"/>
      <c r="AE51" s="198" t="s">
        <v>215</v>
      </c>
    </row>
    <row r="52" spans="1:31" x14ac:dyDescent="0.25">
      <c r="AC52" s="197" t="s">
        <v>180</v>
      </c>
      <c r="AD52" s="26"/>
      <c r="AE52" s="198" t="s">
        <v>216</v>
      </c>
    </row>
    <row r="53" spans="1:31" ht="15.75" thickBot="1" x14ac:dyDescent="0.3">
      <c r="AC53" s="197" t="s">
        <v>181</v>
      </c>
      <c r="AD53" s="26"/>
      <c r="AE53" s="198" t="s">
        <v>217</v>
      </c>
    </row>
    <row r="54" spans="1:31" ht="15" customHeight="1" thickTop="1" x14ac:dyDescent="0.25">
      <c r="R54" s="304" t="s">
        <v>142</v>
      </c>
      <c r="S54" s="305"/>
      <c r="T54" s="306"/>
      <c r="AC54" s="197" t="s">
        <v>182</v>
      </c>
      <c r="AD54" s="26"/>
      <c r="AE54" s="198" t="s">
        <v>218</v>
      </c>
    </row>
    <row r="55" spans="1:31" ht="15" customHeight="1" x14ac:dyDescent="0.25">
      <c r="R55" s="307"/>
      <c r="S55" s="308"/>
      <c r="T55" s="309"/>
      <c r="AC55" s="197" t="s">
        <v>183</v>
      </c>
      <c r="AD55" s="26"/>
      <c r="AE55" s="198" t="s">
        <v>219</v>
      </c>
    </row>
    <row r="56" spans="1:31" ht="15" customHeight="1" x14ac:dyDescent="0.25">
      <c r="R56" s="307"/>
      <c r="S56" s="308"/>
      <c r="T56" s="309"/>
      <c r="AC56" s="197" t="s">
        <v>184</v>
      </c>
      <c r="AD56" s="26"/>
      <c r="AE56" s="198" t="s">
        <v>220</v>
      </c>
    </row>
    <row r="57" spans="1:31" ht="15" customHeight="1" x14ac:dyDescent="0.25">
      <c r="R57" s="307"/>
      <c r="S57" s="308"/>
      <c r="T57" s="309"/>
      <c r="AC57" s="197" t="s">
        <v>185</v>
      </c>
      <c r="AD57" s="26"/>
      <c r="AE57" s="198" t="s">
        <v>221</v>
      </c>
    </row>
    <row r="58" spans="1:31" ht="15" customHeight="1" thickBot="1" x14ac:dyDescent="0.3">
      <c r="R58" s="310"/>
      <c r="S58" s="311"/>
      <c r="T58" s="312"/>
      <c r="AC58" s="197" t="s">
        <v>186</v>
      </c>
      <c r="AD58" s="26"/>
      <c r="AE58" s="198" t="s">
        <v>222</v>
      </c>
    </row>
    <row r="59" spans="1:31" ht="16.5" thickTop="1" thickBot="1" x14ac:dyDescent="0.3">
      <c r="AC59" s="199" t="s">
        <v>187</v>
      </c>
      <c r="AD59" s="200"/>
      <c r="AE59" s="201" t="s">
        <v>223</v>
      </c>
    </row>
    <row r="60" spans="1:31" ht="15.75" thickTop="1" x14ac:dyDescent="0.25"/>
    <row r="62" spans="1:31" ht="18.75" x14ac:dyDescent="0.25">
      <c r="A62" s="303" t="s">
        <v>143</v>
      </c>
      <c r="B62" s="303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</row>
    <row r="71" spans="29:31" ht="15.75" thickBot="1" x14ac:dyDescent="0.3"/>
    <row r="72" spans="29:31" ht="15.75" thickTop="1" x14ac:dyDescent="0.25">
      <c r="AC72" s="194" t="s">
        <v>172</v>
      </c>
      <c r="AD72" s="195"/>
      <c r="AE72" s="196" t="s">
        <v>208</v>
      </c>
    </row>
    <row r="73" spans="29:31" x14ac:dyDescent="0.25">
      <c r="AC73" s="197" t="s">
        <v>173</v>
      </c>
      <c r="AD73" s="26"/>
      <c r="AE73" s="198" t="s">
        <v>209</v>
      </c>
    </row>
    <row r="74" spans="29:31" x14ac:dyDescent="0.25">
      <c r="AC74" s="197" t="s">
        <v>174</v>
      </c>
      <c r="AD74" s="26"/>
      <c r="AE74" s="198" t="s">
        <v>210</v>
      </c>
    </row>
    <row r="75" spans="29:31" x14ac:dyDescent="0.25">
      <c r="AC75" s="197" t="s">
        <v>175</v>
      </c>
      <c r="AD75" s="26"/>
      <c r="AE75" s="198" t="s">
        <v>211</v>
      </c>
    </row>
    <row r="76" spans="29:31" x14ac:dyDescent="0.25">
      <c r="AC76" s="197" t="s">
        <v>176</v>
      </c>
      <c r="AD76" s="26"/>
      <c r="AE76" s="198" t="s">
        <v>212</v>
      </c>
    </row>
    <row r="77" spans="29:31" x14ac:dyDescent="0.25">
      <c r="AC77" s="197" t="s">
        <v>177</v>
      </c>
      <c r="AD77" s="26"/>
      <c r="AE77" s="198" t="s">
        <v>213</v>
      </c>
    </row>
    <row r="78" spans="29:31" x14ac:dyDescent="0.25">
      <c r="AC78" s="197" t="s">
        <v>178</v>
      </c>
      <c r="AD78" s="26"/>
      <c r="AE78" s="198" t="s">
        <v>214</v>
      </c>
    </row>
    <row r="79" spans="29:31" x14ac:dyDescent="0.25">
      <c r="AC79" s="197" t="s">
        <v>179</v>
      </c>
      <c r="AD79" s="26"/>
      <c r="AE79" s="198" t="s">
        <v>215</v>
      </c>
    </row>
    <row r="80" spans="29:31" x14ac:dyDescent="0.25">
      <c r="AC80" s="197" t="s">
        <v>180</v>
      </c>
      <c r="AD80" s="26"/>
      <c r="AE80" s="198" t="s">
        <v>216</v>
      </c>
    </row>
    <row r="81" spans="1:31" x14ac:dyDescent="0.25">
      <c r="AC81" s="197" t="s">
        <v>181</v>
      </c>
      <c r="AD81" s="26"/>
      <c r="AE81" s="198" t="s">
        <v>217</v>
      </c>
    </row>
    <row r="82" spans="1:31" ht="15.75" thickBot="1" x14ac:dyDescent="0.3">
      <c r="AC82" s="197" t="s">
        <v>182</v>
      </c>
      <c r="AD82" s="26"/>
      <c r="AE82" s="198" t="s">
        <v>218</v>
      </c>
    </row>
    <row r="83" spans="1:31" ht="15.75" thickTop="1" x14ac:dyDescent="0.25">
      <c r="R83" s="304" t="s">
        <v>142</v>
      </c>
      <c r="S83" s="305"/>
      <c r="T83" s="306"/>
      <c r="AC83" s="197" t="s">
        <v>183</v>
      </c>
      <c r="AD83" s="26"/>
      <c r="AE83" s="198" t="s">
        <v>219</v>
      </c>
    </row>
    <row r="84" spans="1:31" x14ac:dyDescent="0.25">
      <c r="R84" s="307"/>
      <c r="S84" s="308"/>
      <c r="T84" s="309"/>
      <c r="AC84" s="197" t="s">
        <v>184</v>
      </c>
      <c r="AD84" s="26"/>
      <c r="AE84" s="198" t="s">
        <v>220</v>
      </c>
    </row>
    <row r="85" spans="1:31" x14ac:dyDescent="0.25">
      <c r="R85" s="307"/>
      <c r="S85" s="308"/>
      <c r="T85" s="309"/>
      <c r="AC85" s="197" t="s">
        <v>185</v>
      </c>
      <c r="AD85" s="26"/>
      <c r="AE85" s="198" t="s">
        <v>221</v>
      </c>
    </row>
    <row r="86" spans="1:31" x14ac:dyDescent="0.25">
      <c r="R86" s="307"/>
      <c r="S86" s="308"/>
      <c r="T86" s="309"/>
      <c r="AC86" s="197" t="s">
        <v>186</v>
      </c>
      <c r="AD86" s="26"/>
      <c r="AE86" s="198" t="s">
        <v>222</v>
      </c>
    </row>
    <row r="87" spans="1:31" ht="15.75" thickBot="1" x14ac:dyDescent="0.3">
      <c r="R87" s="310"/>
      <c r="S87" s="311"/>
      <c r="T87" s="312"/>
      <c r="AC87" s="199" t="s">
        <v>187</v>
      </c>
      <c r="AD87" s="200"/>
      <c r="AE87" s="201" t="s">
        <v>223</v>
      </c>
    </row>
    <row r="88" spans="1:31" ht="15.75" thickTop="1" x14ac:dyDescent="0.25"/>
    <row r="92" spans="1:31" ht="18.75" x14ac:dyDescent="0.25">
      <c r="A92" s="303" t="s">
        <v>143</v>
      </c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</row>
  </sheetData>
  <mergeCells count="7">
    <mergeCell ref="A92:Y92"/>
    <mergeCell ref="R25:T29"/>
    <mergeCell ref="A33:Y33"/>
    <mergeCell ref="Q41:S45"/>
    <mergeCell ref="R54:T58"/>
    <mergeCell ref="R83:T87"/>
    <mergeCell ref="A62:Y62"/>
  </mergeCells>
  <phoneticPr fontId="34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D55"/>
  <sheetViews>
    <sheetView zoomScale="75" zoomScaleNormal="75" workbookViewId="0"/>
  </sheetViews>
  <sheetFormatPr baseColWidth="10" defaultColWidth="11.42578125" defaultRowHeight="15" x14ac:dyDescent="0.25"/>
  <cols>
    <col min="1" max="1" width="11.42578125" style="21"/>
    <col min="2" max="2" width="105.140625" style="21" customWidth="1"/>
    <col min="3" max="3" width="12" style="21" bestFit="1" customWidth="1"/>
    <col min="4" max="4" width="11.42578125" style="21"/>
    <col min="5" max="5" width="12.85546875" style="21" customWidth="1"/>
    <col min="6" max="10" width="18.7109375" style="21" customWidth="1"/>
    <col min="11" max="13" width="12.85546875" style="21" customWidth="1"/>
    <col min="14" max="18" width="18.7109375" style="21" customWidth="1"/>
    <col min="19" max="86" width="12.85546875" style="21" customWidth="1"/>
    <col min="87" max="16384" width="11.42578125" style="21"/>
  </cols>
  <sheetData>
    <row r="1" spans="1:56" x14ac:dyDescent="0.25">
      <c r="C1" s="317" t="s">
        <v>46</v>
      </c>
      <c r="D1" s="317"/>
      <c r="E1" s="317" t="s">
        <v>118</v>
      </c>
      <c r="F1" s="317"/>
    </row>
    <row r="2" spans="1:56" s="20" customFormat="1" x14ac:dyDescent="0.25">
      <c r="A2" s="62" t="str">
        <f>'RIESGO INHERENTE'!A11</f>
        <v>RIESGO</v>
      </c>
      <c r="B2" s="62" t="str">
        <f>'RIESGO INHERENTE'!$B$11</f>
        <v>DESCRIPCION RIESGO</v>
      </c>
      <c r="C2" s="62" t="str">
        <f>'RIESGO INHERENTE'!O11</f>
        <v>P</v>
      </c>
      <c r="D2" s="62" t="str">
        <f>'RIESGO INHERENTE'!P11</f>
        <v>C</v>
      </c>
      <c r="E2" s="62" t="s">
        <v>147</v>
      </c>
      <c r="F2" s="62" t="s">
        <v>148</v>
      </c>
      <c r="G2" s="20">
        <v>1.1000000000000001</v>
      </c>
      <c r="I2" s="20">
        <v>1.2</v>
      </c>
      <c r="K2" s="20">
        <v>1.3</v>
      </c>
      <c r="M2" s="20">
        <v>1.4</v>
      </c>
      <c r="O2" s="20">
        <v>1.5</v>
      </c>
      <c r="Q2" s="20">
        <v>2.1</v>
      </c>
      <c r="S2" s="20">
        <v>2.2000000000000002</v>
      </c>
      <c r="U2" s="20">
        <v>2.2999999999999998</v>
      </c>
      <c r="W2" s="20">
        <v>2.4</v>
      </c>
      <c r="Y2" s="20">
        <v>2.5</v>
      </c>
      <c r="AA2" s="20">
        <v>3.1</v>
      </c>
      <c r="AC2" s="20">
        <v>3.2</v>
      </c>
      <c r="AE2" s="20">
        <v>3.3</v>
      </c>
      <c r="AG2" s="20">
        <v>3.4</v>
      </c>
      <c r="AI2" s="20">
        <v>3.5</v>
      </c>
      <c r="AK2" s="20">
        <v>4.0999999999999996</v>
      </c>
      <c r="AM2" s="20">
        <v>4.2</v>
      </c>
      <c r="AO2" s="20">
        <v>4.3</v>
      </c>
      <c r="AQ2" s="20">
        <v>4.4000000000000004</v>
      </c>
      <c r="AS2" s="20">
        <v>4.5</v>
      </c>
      <c r="AU2" s="20">
        <v>5.0999999999999996</v>
      </c>
      <c r="AW2" s="20">
        <v>5.2</v>
      </c>
      <c r="AY2" s="20">
        <v>5.3</v>
      </c>
      <c r="BA2" s="20">
        <v>5.4</v>
      </c>
      <c r="BC2" s="20">
        <v>5.5</v>
      </c>
    </row>
    <row r="3" spans="1:56" s="20" customFormat="1" ht="32.25" customHeight="1" x14ac:dyDescent="0.25">
      <c r="A3" s="63">
        <f>'RIESGO INHERENTE'!A12</f>
        <v>1</v>
      </c>
      <c r="B3" s="64" t="str">
        <f>+'RIESGO INHERENTE'!B12</f>
        <v>Operar con personas que sean reconocidas como lavadores de activos, terroristas o financiadores del terrorismo que se encuentren referenciadas en listas restrictivas</v>
      </c>
      <c r="C3" s="63">
        <f>'RIESGO INHERENTE'!O12</f>
        <v>5</v>
      </c>
      <c r="D3" s="63">
        <f>'RIESGO INHERENTE'!P12</f>
        <v>5</v>
      </c>
      <c r="E3" s="63">
        <f t="shared" ref="E3:E14" si="0">+C35</f>
        <v>2</v>
      </c>
      <c r="F3" s="63">
        <f t="shared" ref="F3:F14" si="1">+D35</f>
        <v>2</v>
      </c>
      <c r="G3" s="20" t="b">
        <f>+AND(C3=1,D3=1)</f>
        <v>0</v>
      </c>
      <c r="H3" s="21" t="str">
        <f t="shared" ref="H3:H14" si="2">+IF(G3," R"&amp;A3,"")</f>
        <v/>
      </c>
      <c r="I3" s="20" t="b">
        <f>+AND($C3=1,$D3=2)</f>
        <v>0</v>
      </c>
      <c r="J3" s="20" t="str">
        <f t="shared" ref="J3:J14" si="3">+IF(I3," R"&amp;A3,"")</f>
        <v/>
      </c>
      <c r="K3" s="20" t="b">
        <f t="shared" ref="K3:K23" si="4">+AND($C3=1,$D3=3)</f>
        <v>0</v>
      </c>
      <c r="L3" s="20" t="str">
        <f t="shared" ref="L3:L14" si="5">+IF(K3," R"&amp;$A3,"")</f>
        <v/>
      </c>
      <c r="M3" s="20" t="b">
        <f t="shared" ref="M3:M23" si="6">+AND($C3=1,$D3=4)</f>
        <v>0</v>
      </c>
      <c r="N3" s="20" t="str">
        <f t="shared" ref="N3:N14" si="7">+IF(M3," R"&amp;$A3,"")</f>
        <v/>
      </c>
      <c r="O3" s="20" t="b">
        <f t="shared" ref="O3:O23" si="8">+AND($C3=1,$D3=5)</f>
        <v>0</v>
      </c>
      <c r="P3" s="20" t="str">
        <f t="shared" ref="P3:P14" si="9">+IF(O3," R"&amp;$A3,"")</f>
        <v/>
      </c>
      <c r="Q3" s="20" t="b">
        <f t="shared" ref="Q3:Q23" si="10">+AND($C3=2,$D3=1)</f>
        <v>0</v>
      </c>
      <c r="R3" s="20" t="str">
        <f t="shared" ref="R3:R14" si="11">+IF(Q3," R"&amp;$A3,"")</f>
        <v/>
      </c>
      <c r="S3" s="20" t="b">
        <f>+AND($C3=2,$D3=2)</f>
        <v>0</v>
      </c>
      <c r="T3" s="20" t="str">
        <f t="shared" ref="T3:T14" si="12">+IF(S3," R"&amp;$A3,"")</f>
        <v/>
      </c>
      <c r="U3" s="20" t="b">
        <f t="shared" ref="U3:U23" si="13">+AND($C3=2,$D3=3)</f>
        <v>0</v>
      </c>
      <c r="V3" s="20" t="str">
        <f t="shared" ref="V3:V14" si="14">+IF(U3," R"&amp;$A3,"")</f>
        <v/>
      </c>
      <c r="W3" s="20" t="b">
        <f t="shared" ref="W3:W23" si="15">+AND($C3=2,$D3=4)</f>
        <v>0</v>
      </c>
      <c r="X3" s="20" t="str">
        <f t="shared" ref="X3:X14" si="16">+IF(W3," R"&amp;$A3,"")</f>
        <v/>
      </c>
      <c r="Y3" s="20" t="b">
        <f t="shared" ref="Y3:Y23" si="17">+AND($C3=2,$D3=5)</f>
        <v>0</v>
      </c>
      <c r="Z3" s="20" t="str">
        <f t="shared" ref="Z3:Z14" si="18">+IF(Y3," R"&amp;$A3,"")</f>
        <v/>
      </c>
      <c r="AA3" s="20" t="b">
        <f t="shared" ref="AA3:AA12" si="19">+AND($C3=3,$D3=1)</f>
        <v>0</v>
      </c>
      <c r="AB3" s="20" t="str">
        <f t="shared" ref="AB3:AB14" si="20">+IF(AA3," R"&amp;$A3,"")</f>
        <v/>
      </c>
      <c r="AC3" s="20" t="b">
        <f t="shared" ref="AC3:AC12" si="21">+AND($C3=3,$D3=2)</f>
        <v>0</v>
      </c>
      <c r="AD3" s="20" t="str">
        <f t="shared" ref="AD3:AD14" si="22">+IF(AC3," R"&amp;$A3,"")</f>
        <v/>
      </c>
      <c r="AE3" s="20" t="b">
        <f t="shared" ref="AE3:AE12" si="23">+AND($C3=3,$D3=3)</f>
        <v>0</v>
      </c>
      <c r="AF3" s="20" t="str">
        <f t="shared" ref="AF3:AF14" si="24">+IF(AE3," R"&amp;$A3,"")</f>
        <v/>
      </c>
      <c r="AG3" s="20" t="b">
        <f t="shared" ref="AG3:AG23" si="25">+AND($C3=3,$D3=4)</f>
        <v>0</v>
      </c>
      <c r="AH3" s="20" t="str">
        <f t="shared" ref="AH3:AH14" si="26">+IF(AG3," R"&amp;$A3,"")</f>
        <v/>
      </c>
      <c r="AI3" s="20" t="b">
        <f>+AND($C4=3,$D4=5)</f>
        <v>0</v>
      </c>
      <c r="AJ3" s="20" t="str">
        <f t="shared" ref="AJ3:AJ14" si="27">+IF(AI3," R"&amp;$A3,"")</f>
        <v/>
      </c>
      <c r="AK3" s="20" t="b">
        <f>+AND($C4=4,$D4=1)</f>
        <v>0</v>
      </c>
      <c r="AL3" s="20" t="str">
        <f t="shared" ref="AL3:AL14" si="28">+IF(AK3," R"&amp;$A3,"")</f>
        <v/>
      </c>
      <c r="AM3" s="20" t="b">
        <f t="shared" ref="AM3:AM12" si="29">+AND($C3=4,$D3=2)</f>
        <v>0</v>
      </c>
      <c r="AN3" s="20" t="str">
        <f t="shared" ref="AN3:AP14" si="30">+IF(AM3," R"&amp;$A3,"")</f>
        <v/>
      </c>
      <c r="AO3" s="20" t="b">
        <f>+AND($C4=4,$D4=3)</f>
        <v>0</v>
      </c>
      <c r="AP3" s="20" t="str">
        <f t="shared" si="30"/>
        <v/>
      </c>
      <c r="AQ3" s="20" t="b">
        <f>+AND($C4=4,$D4=4)</f>
        <v>0</v>
      </c>
      <c r="AR3" s="20" t="str">
        <f t="shared" ref="AR3:AR14" si="31">+IF(AQ3," R"&amp;$A3,"")</f>
        <v/>
      </c>
      <c r="AS3" s="20" t="b">
        <f>+AND($C4=4,$D4=5)</f>
        <v>0</v>
      </c>
      <c r="AT3" s="20" t="str">
        <f t="shared" ref="AT3:AT14" si="32">+IF(AS3," R"&amp;$A3,"")</f>
        <v/>
      </c>
      <c r="AU3" s="20" t="b">
        <f t="shared" ref="AU3:AU12" si="33">+AND($C3=5,$D3=1)</f>
        <v>0</v>
      </c>
      <c r="AV3" s="20" t="str">
        <f t="shared" ref="AV3:AV14" si="34">+IF(AU3," R"&amp;$A3,"")</f>
        <v/>
      </c>
      <c r="AW3" s="20" t="b">
        <f t="shared" ref="AW3:AW12" si="35">+AND($C3=5,$D3=2)</f>
        <v>0</v>
      </c>
      <c r="AX3" s="20" t="str">
        <f t="shared" ref="AX3:AX14" si="36">+IF(AW3," R"&amp;$A3,"")</f>
        <v/>
      </c>
      <c r="AY3" s="20" t="b">
        <f t="shared" ref="AY3:AY12" si="37">+AND($C3=5,$D3=3)</f>
        <v>0</v>
      </c>
      <c r="AZ3" s="20" t="str">
        <f t="shared" ref="AZ3:AZ14" si="38">+IF(AY3," R"&amp;$A3,"")</f>
        <v/>
      </c>
      <c r="BA3" s="20" t="b">
        <f t="shared" ref="BA3:BA12" si="39">+AND($C3=5,$D3=4)</f>
        <v>0</v>
      </c>
      <c r="BB3" s="20" t="str">
        <f t="shared" ref="BB3:BB14" si="40">+IF(BA3," R"&amp;$A3,"")</f>
        <v/>
      </c>
      <c r="BC3" s="20" t="b">
        <f t="shared" ref="BC3:BC23" si="41">+AND($C3=5,$D3=5)</f>
        <v>1</v>
      </c>
      <c r="BD3" s="20" t="str">
        <f t="shared" ref="BD3:BD14" si="42">+IF(BC3," R"&amp;$A3,"")</f>
        <v xml:space="preserve"> R1</v>
      </c>
    </row>
    <row r="4" spans="1:56" s="20" customFormat="1" ht="32.25" customHeight="1" x14ac:dyDescent="0.25">
      <c r="A4" s="63">
        <f>'RIESGO INHERENTE'!A13</f>
        <v>2</v>
      </c>
      <c r="B4" s="64" t="str">
        <f>+'RIESGO INHERENTE'!B13</f>
        <v>Operar con personas que presentan documentación falsa para realizar operaciones de LA/FT/FPADM.</v>
      </c>
      <c r="C4" s="63">
        <f>'RIESGO INHERENTE'!O13</f>
        <v>5</v>
      </c>
      <c r="D4" s="63">
        <f>'RIESGO INHERENTE'!P13</f>
        <v>3</v>
      </c>
      <c r="E4" s="63">
        <f t="shared" si="0"/>
        <v>1</v>
      </c>
      <c r="F4" s="63">
        <f t="shared" si="1"/>
        <v>1</v>
      </c>
      <c r="G4" s="20" t="b">
        <f t="shared" ref="G4:G14" si="43">+AND(C4=1,D4=1)</f>
        <v>0</v>
      </c>
      <c r="H4" s="21" t="str">
        <f t="shared" si="2"/>
        <v/>
      </c>
      <c r="I4" s="20" t="b">
        <f t="shared" ref="I4:I14" si="44">+AND(C4=1,D4=2)</f>
        <v>0</v>
      </c>
      <c r="J4" s="20" t="str">
        <f t="shared" si="3"/>
        <v/>
      </c>
      <c r="K4" s="20" t="b">
        <f t="shared" si="4"/>
        <v>0</v>
      </c>
      <c r="L4" s="20" t="str">
        <f t="shared" si="5"/>
        <v/>
      </c>
      <c r="M4" s="20" t="b">
        <f t="shared" si="6"/>
        <v>0</v>
      </c>
      <c r="N4" s="20" t="str">
        <f t="shared" si="7"/>
        <v/>
      </c>
      <c r="O4" s="20" t="b">
        <f t="shared" si="8"/>
        <v>0</v>
      </c>
      <c r="P4" s="20" t="str">
        <f t="shared" si="9"/>
        <v/>
      </c>
      <c r="Q4" s="20" t="b">
        <f t="shared" si="10"/>
        <v>0</v>
      </c>
      <c r="R4" s="20" t="str">
        <f t="shared" si="11"/>
        <v/>
      </c>
      <c r="S4" s="20" t="b">
        <f>+AND($C4=2,$D4=2)</f>
        <v>0</v>
      </c>
      <c r="T4" s="20" t="str">
        <f t="shared" si="12"/>
        <v/>
      </c>
      <c r="U4" s="20" t="b">
        <f t="shared" si="13"/>
        <v>0</v>
      </c>
      <c r="V4" s="20" t="str">
        <f t="shared" si="14"/>
        <v/>
      </c>
      <c r="W4" s="20" t="b">
        <f t="shared" si="15"/>
        <v>0</v>
      </c>
      <c r="X4" s="20" t="str">
        <f t="shared" si="16"/>
        <v/>
      </c>
      <c r="Y4" s="20" t="b">
        <f t="shared" si="17"/>
        <v>0</v>
      </c>
      <c r="Z4" s="20" t="str">
        <f t="shared" si="18"/>
        <v/>
      </c>
      <c r="AA4" s="20" t="b">
        <f t="shared" si="19"/>
        <v>0</v>
      </c>
      <c r="AB4" s="20" t="str">
        <f t="shared" si="20"/>
        <v/>
      </c>
      <c r="AC4" s="20" t="b">
        <f t="shared" si="21"/>
        <v>0</v>
      </c>
      <c r="AD4" s="20" t="str">
        <f t="shared" si="22"/>
        <v/>
      </c>
      <c r="AE4" s="20" t="b">
        <f t="shared" si="23"/>
        <v>0</v>
      </c>
      <c r="AF4" s="20" t="str">
        <f t="shared" si="24"/>
        <v/>
      </c>
      <c r="AG4" s="20" t="b">
        <f t="shared" si="25"/>
        <v>0</v>
      </c>
      <c r="AH4" s="20" t="str">
        <f t="shared" si="26"/>
        <v/>
      </c>
      <c r="AI4" s="20" t="b">
        <f t="shared" ref="AI4:AI12" si="45">+AND($C4=3,$D4=5)</f>
        <v>0</v>
      </c>
      <c r="AJ4" s="20" t="str">
        <f t="shared" si="27"/>
        <v/>
      </c>
      <c r="AK4" s="20" t="b">
        <f t="shared" ref="AK4:AK12" si="46">+AND($C4=4,$D4=1)</f>
        <v>0</v>
      </c>
      <c r="AL4" s="20" t="str">
        <f t="shared" si="28"/>
        <v/>
      </c>
      <c r="AM4" s="20" t="b">
        <f t="shared" si="29"/>
        <v>0</v>
      </c>
      <c r="AN4" s="20" t="str">
        <f t="shared" si="30"/>
        <v/>
      </c>
      <c r="AO4" s="20" t="b">
        <f>+AND($C4=4,$D4=3)</f>
        <v>0</v>
      </c>
      <c r="AP4" s="20" t="str">
        <f t="shared" si="30"/>
        <v/>
      </c>
      <c r="AQ4" s="20" t="b">
        <f>+AND($C4=4,$D4=4)</f>
        <v>0</v>
      </c>
      <c r="AR4" s="20" t="str">
        <f t="shared" si="31"/>
        <v/>
      </c>
      <c r="AS4" s="20" t="b">
        <f>+AND($C4=4,$D4=5)</f>
        <v>0</v>
      </c>
      <c r="AT4" s="20" t="str">
        <f t="shared" si="32"/>
        <v/>
      </c>
      <c r="AU4" s="20" t="b">
        <f t="shared" si="33"/>
        <v>0</v>
      </c>
      <c r="AV4" s="20" t="str">
        <f t="shared" si="34"/>
        <v/>
      </c>
      <c r="AW4" s="20" t="b">
        <f t="shared" si="35"/>
        <v>0</v>
      </c>
      <c r="AX4" s="20" t="str">
        <f t="shared" si="36"/>
        <v/>
      </c>
      <c r="AY4" s="20" t="b">
        <f t="shared" si="37"/>
        <v>1</v>
      </c>
      <c r="AZ4" s="20" t="str">
        <f t="shared" si="38"/>
        <v xml:space="preserve"> R2</v>
      </c>
      <c r="BA4" s="20" t="b">
        <f t="shared" si="39"/>
        <v>0</v>
      </c>
      <c r="BB4" s="20" t="str">
        <f t="shared" si="40"/>
        <v/>
      </c>
      <c r="BC4" s="20" t="b">
        <f t="shared" si="41"/>
        <v>0</v>
      </c>
      <c r="BD4" s="20" t="str">
        <f t="shared" si="42"/>
        <v/>
      </c>
    </row>
    <row r="5" spans="1:56" s="20" customFormat="1" ht="30" x14ac:dyDescent="0.25">
      <c r="A5" s="63">
        <f>'RIESGO INHERENTE'!A14</f>
        <v>3</v>
      </c>
      <c r="B5" s="64" t="str">
        <f>+'RIESGO INHERENTE'!B14</f>
        <v>Utilización de estructuras societarias complejas para canalizar fondos provenientes del delito de corrupción (tipologías regionales de gafilat: 2009 - 2016)</v>
      </c>
      <c r="C5" s="63">
        <f>'RIESGO INHERENTE'!O14</f>
        <v>5</v>
      </c>
      <c r="D5" s="63">
        <f>'RIESGO INHERENTE'!P14</f>
        <v>5</v>
      </c>
      <c r="E5" s="63">
        <f t="shared" si="0"/>
        <v>1</v>
      </c>
      <c r="F5" s="63">
        <f t="shared" si="1"/>
        <v>1</v>
      </c>
      <c r="G5" s="20" t="b">
        <f t="shared" si="43"/>
        <v>0</v>
      </c>
      <c r="H5" s="21" t="str">
        <f t="shared" si="2"/>
        <v/>
      </c>
      <c r="I5" s="20" t="b">
        <f t="shared" si="44"/>
        <v>0</v>
      </c>
      <c r="J5" s="20" t="str">
        <f t="shared" si="3"/>
        <v/>
      </c>
      <c r="K5" s="20" t="b">
        <f t="shared" si="4"/>
        <v>0</v>
      </c>
      <c r="L5" s="20" t="str">
        <f t="shared" si="5"/>
        <v/>
      </c>
      <c r="M5" s="20" t="b">
        <f t="shared" si="6"/>
        <v>0</v>
      </c>
      <c r="N5" s="20" t="str">
        <f t="shared" si="7"/>
        <v/>
      </c>
      <c r="O5" s="20" t="b">
        <f t="shared" si="8"/>
        <v>0</v>
      </c>
      <c r="P5" s="20" t="str">
        <f t="shared" si="9"/>
        <v/>
      </c>
      <c r="Q5" s="20" t="b">
        <f t="shared" si="10"/>
        <v>0</v>
      </c>
      <c r="R5" s="20" t="str">
        <f t="shared" si="11"/>
        <v/>
      </c>
      <c r="S5" s="20" t="b">
        <f>+AND($C5=2,$D5=2)</f>
        <v>0</v>
      </c>
      <c r="T5" s="20" t="str">
        <f t="shared" si="12"/>
        <v/>
      </c>
      <c r="U5" s="20" t="b">
        <f t="shared" si="13"/>
        <v>0</v>
      </c>
      <c r="V5" s="20" t="str">
        <f t="shared" si="14"/>
        <v/>
      </c>
      <c r="W5" s="20" t="b">
        <f t="shared" si="15"/>
        <v>0</v>
      </c>
      <c r="X5" s="20" t="str">
        <f t="shared" si="16"/>
        <v/>
      </c>
      <c r="Y5" s="20" t="b">
        <f t="shared" si="17"/>
        <v>0</v>
      </c>
      <c r="Z5" s="20" t="str">
        <f t="shared" si="18"/>
        <v/>
      </c>
      <c r="AA5" s="20" t="b">
        <f t="shared" si="19"/>
        <v>0</v>
      </c>
      <c r="AB5" s="20" t="str">
        <f t="shared" si="20"/>
        <v/>
      </c>
      <c r="AC5" s="20" t="b">
        <f t="shared" si="21"/>
        <v>0</v>
      </c>
      <c r="AD5" s="20" t="str">
        <f t="shared" si="22"/>
        <v/>
      </c>
      <c r="AE5" s="20" t="b">
        <f t="shared" si="23"/>
        <v>0</v>
      </c>
      <c r="AF5" s="20" t="str">
        <f t="shared" si="24"/>
        <v/>
      </c>
      <c r="AG5" s="20" t="b">
        <f t="shared" si="25"/>
        <v>0</v>
      </c>
      <c r="AH5" s="20" t="str">
        <f t="shared" si="26"/>
        <v/>
      </c>
      <c r="AI5" s="20" t="b">
        <f t="shared" si="45"/>
        <v>0</v>
      </c>
      <c r="AJ5" s="20" t="str">
        <f t="shared" si="27"/>
        <v/>
      </c>
      <c r="AK5" s="20" t="b">
        <f t="shared" si="46"/>
        <v>0</v>
      </c>
      <c r="AL5" s="20" t="str">
        <f t="shared" si="28"/>
        <v/>
      </c>
      <c r="AM5" s="20" t="b">
        <f t="shared" si="29"/>
        <v>0</v>
      </c>
      <c r="AN5" s="20" t="str">
        <f t="shared" si="30"/>
        <v/>
      </c>
      <c r="AO5" s="20" t="b">
        <f>+AND($C5=4,$D5=3)</f>
        <v>0</v>
      </c>
      <c r="AP5" s="20" t="str">
        <f t="shared" si="30"/>
        <v/>
      </c>
      <c r="AQ5" s="20" t="b">
        <f>+AND($C5=4,$D5=4)</f>
        <v>0</v>
      </c>
      <c r="AR5" s="20" t="str">
        <f t="shared" si="31"/>
        <v/>
      </c>
      <c r="AS5" s="20" t="b">
        <f>+AND($C5=4,$D5=5)</f>
        <v>0</v>
      </c>
      <c r="AT5" s="20" t="str">
        <f t="shared" si="32"/>
        <v/>
      </c>
      <c r="AU5" s="20" t="b">
        <f t="shared" si="33"/>
        <v>0</v>
      </c>
      <c r="AV5" s="20" t="str">
        <f t="shared" si="34"/>
        <v/>
      </c>
      <c r="AW5" s="20" t="b">
        <f t="shared" si="35"/>
        <v>0</v>
      </c>
      <c r="AX5" s="20" t="str">
        <f t="shared" si="36"/>
        <v/>
      </c>
      <c r="AY5" s="20" t="b">
        <f t="shared" si="37"/>
        <v>0</v>
      </c>
      <c r="AZ5" s="20" t="str">
        <f t="shared" si="38"/>
        <v/>
      </c>
      <c r="BA5" s="20" t="b">
        <f t="shared" si="39"/>
        <v>0</v>
      </c>
      <c r="BB5" s="20" t="str">
        <f t="shared" si="40"/>
        <v/>
      </c>
      <c r="BC5" s="20" t="b">
        <f t="shared" si="41"/>
        <v>1</v>
      </c>
      <c r="BD5" s="20" t="str">
        <f t="shared" si="42"/>
        <v xml:space="preserve"> R3</v>
      </c>
    </row>
    <row r="6" spans="1:56" s="20" customFormat="1" ht="32.25" customHeight="1" x14ac:dyDescent="0.25">
      <c r="A6" s="63">
        <f>'RIESGO INHERENTE'!A15</f>
        <v>4</v>
      </c>
      <c r="B6" s="64" t="str">
        <f>+'RIESGO INHERENTE'!B15</f>
        <v>No se realiza un adecuado conocimiento del cliente / beneficiario final.</v>
      </c>
      <c r="C6" s="63">
        <f>'RIESGO INHERENTE'!O15</f>
        <v>4</v>
      </c>
      <c r="D6" s="63">
        <f>'RIESGO INHERENTE'!P15</f>
        <v>4</v>
      </c>
      <c r="E6" s="63">
        <f t="shared" si="0"/>
        <v>1</v>
      </c>
      <c r="F6" s="63">
        <f t="shared" si="1"/>
        <v>1</v>
      </c>
      <c r="G6" s="20" t="b">
        <f t="shared" si="43"/>
        <v>0</v>
      </c>
      <c r="H6" s="21" t="str">
        <f t="shared" si="2"/>
        <v/>
      </c>
      <c r="I6" s="20" t="b">
        <f t="shared" si="44"/>
        <v>0</v>
      </c>
      <c r="J6" s="20" t="str">
        <f t="shared" si="3"/>
        <v/>
      </c>
      <c r="K6" s="20" t="b">
        <f t="shared" si="4"/>
        <v>0</v>
      </c>
      <c r="L6" s="20" t="str">
        <f t="shared" si="5"/>
        <v/>
      </c>
      <c r="M6" s="20" t="b">
        <f t="shared" si="6"/>
        <v>0</v>
      </c>
      <c r="N6" s="20" t="str">
        <f t="shared" si="7"/>
        <v/>
      </c>
      <c r="O6" s="20" t="b">
        <f t="shared" si="8"/>
        <v>0</v>
      </c>
      <c r="P6" s="20" t="str">
        <f t="shared" si="9"/>
        <v/>
      </c>
      <c r="Q6" s="20" t="b">
        <f t="shared" si="10"/>
        <v>0</v>
      </c>
      <c r="R6" s="20" t="str">
        <f t="shared" si="11"/>
        <v/>
      </c>
      <c r="S6" s="20" t="b">
        <f>+AND($C3=2,$D3=2)</f>
        <v>0</v>
      </c>
      <c r="T6" s="20" t="str">
        <f t="shared" si="12"/>
        <v/>
      </c>
      <c r="U6" s="20" t="b">
        <f t="shared" si="13"/>
        <v>0</v>
      </c>
      <c r="V6" s="20" t="str">
        <f t="shared" si="14"/>
        <v/>
      </c>
      <c r="W6" s="20" t="b">
        <f t="shared" si="15"/>
        <v>0</v>
      </c>
      <c r="X6" s="20" t="str">
        <f t="shared" si="16"/>
        <v/>
      </c>
      <c r="Y6" s="20" t="b">
        <f t="shared" si="17"/>
        <v>0</v>
      </c>
      <c r="Z6" s="20" t="str">
        <f t="shared" si="18"/>
        <v/>
      </c>
      <c r="AA6" s="20" t="b">
        <f t="shared" si="19"/>
        <v>0</v>
      </c>
      <c r="AB6" s="20" t="str">
        <f t="shared" si="20"/>
        <v/>
      </c>
      <c r="AC6" s="20" t="b">
        <f t="shared" si="21"/>
        <v>0</v>
      </c>
      <c r="AD6" s="20" t="str">
        <f t="shared" si="22"/>
        <v/>
      </c>
      <c r="AE6" s="20" t="b">
        <f t="shared" si="23"/>
        <v>0</v>
      </c>
      <c r="AF6" s="20" t="str">
        <f t="shared" si="24"/>
        <v/>
      </c>
      <c r="AG6" s="20" t="b">
        <f t="shared" si="25"/>
        <v>0</v>
      </c>
      <c r="AH6" s="20" t="str">
        <f t="shared" si="26"/>
        <v/>
      </c>
      <c r="AI6" s="20" t="b">
        <f t="shared" si="45"/>
        <v>0</v>
      </c>
      <c r="AJ6" s="20" t="str">
        <f t="shared" si="27"/>
        <v/>
      </c>
      <c r="AK6" s="20" t="b">
        <f t="shared" si="46"/>
        <v>0</v>
      </c>
      <c r="AL6" s="20" t="str">
        <f t="shared" si="28"/>
        <v/>
      </c>
      <c r="AM6" s="20" t="b">
        <f t="shared" si="29"/>
        <v>0</v>
      </c>
      <c r="AN6" s="20" t="str">
        <f t="shared" si="30"/>
        <v/>
      </c>
      <c r="AO6" s="20" t="b">
        <f>+AND($C4=4,$D4=3)</f>
        <v>0</v>
      </c>
      <c r="AP6" s="20" t="str">
        <f t="shared" si="30"/>
        <v/>
      </c>
      <c r="AQ6" s="20" t="b">
        <f>+AND($C4=4,$D4=4)</f>
        <v>0</v>
      </c>
      <c r="AR6" s="20" t="str">
        <f t="shared" si="31"/>
        <v/>
      </c>
      <c r="AS6" s="20" t="b">
        <f>+AND($C4=4,$D4=5)</f>
        <v>0</v>
      </c>
      <c r="AT6" s="20" t="str">
        <f t="shared" si="32"/>
        <v/>
      </c>
      <c r="AU6" s="20" t="b">
        <f t="shared" si="33"/>
        <v>0</v>
      </c>
      <c r="AV6" s="20" t="str">
        <f t="shared" si="34"/>
        <v/>
      </c>
      <c r="AW6" s="20" t="b">
        <f t="shared" si="35"/>
        <v>0</v>
      </c>
      <c r="AX6" s="20" t="str">
        <f t="shared" si="36"/>
        <v/>
      </c>
      <c r="AY6" s="20" t="b">
        <f t="shared" si="37"/>
        <v>0</v>
      </c>
      <c r="AZ6" s="20" t="str">
        <f t="shared" si="38"/>
        <v/>
      </c>
      <c r="BA6" s="20" t="b">
        <f t="shared" si="39"/>
        <v>0</v>
      </c>
      <c r="BB6" s="20" t="str">
        <f t="shared" si="40"/>
        <v/>
      </c>
      <c r="BC6" s="20" t="b">
        <f t="shared" si="41"/>
        <v>0</v>
      </c>
      <c r="BD6" s="20" t="str">
        <f t="shared" si="42"/>
        <v/>
      </c>
    </row>
    <row r="7" spans="1:56" s="20" customFormat="1" x14ac:dyDescent="0.25">
      <c r="A7" s="63">
        <f>'RIESGO INHERENTE'!A16</f>
        <v>5</v>
      </c>
      <c r="B7" s="64" t="str">
        <f>+'RIESGO INHERENTE'!B16</f>
        <v xml:space="preserve">Pago de facturas a un tercero sin verificar listas de control. </v>
      </c>
      <c r="C7" s="63">
        <f>'RIESGO INHERENTE'!O16</f>
        <v>4</v>
      </c>
      <c r="D7" s="63">
        <f>'RIESGO INHERENTE'!P16</f>
        <v>4</v>
      </c>
      <c r="E7" s="63">
        <f t="shared" si="0"/>
        <v>1</v>
      </c>
      <c r="F7" s="63">
        <f t="shared" si="1"/>
        <v>1</v>
      </c>
      <c r="G7" s="20" t="b">
        <f>+AND(C7=1,D7=1)</f>
        <v>0</v>
      </c>
      <c r="H7" s="21" t="str">
        <f t="shared" si="2"/>
        <v/>
      </c>
      <c r="I7" s="20" t="b">
        <f t="shared" si="44"/>
        <v>0</v>
      </c>
      <c r="J7" s="20" t="str">
        <f t="shared" si="3"/>
        <v/>
      </c>
      <c r="K7" s="20" t="b">
        <f t="shared" si="4"/>
        <v>0</v>
      </c>
      <c r="L7" s="20" t="str">
        <f t="shared" si="5"/>
        <v/>
      </c>
      <c r="M7" s="20" t="b">
        <f t="shared" si="6"/>
        <v>0</v>
      </c>
      <c r="N7" s="20" t="str">
        <f t="shared" si="7"/>
        <v/>
      </c>
      <c r="O7" s="20" t="b">
        <f t="shared" si="8"/>
        <v>0</v>
      </c>
      <c r="P7" s="20" t="str">
        <f t="shared" si="9"/>
        <v/>
      </c>
      <c r="Q7" s="20" t="b">
        <f t="shared" si="10"/>
        <v>0</v>
      </c>
      <c r="R7" s="20" t="str">
        <f t="shared" si="11"/>
        <v/>
      </c>
      <c r="S7" s="20" t="b">
        <f t="shared" ref="S7:S23" si="47">+AND($C7=2,$D7=2)</f>
        <v>0</v>
      </c>
      <c r="T7" s="20" t="str">
        <f t="shared" si="12"/>
        <v/>
      </c>
      <c r="U7" s="20" t="b">
        <f t="shared" si="13"/>
        <v>0</v>
      </c>
      <c r="V7" s="20" t="str">
        <f t="shared" si="14"/>
        <v/>
      </c>
      <c r="W7" s="20" t="b">
        <f t="shared" si="15"/>
        <v>0</v>
      </c>
      <c r="X7" s="20" t="str">
        <f t="shared" si="16"/>
        <v/>
      </c>
      <c r="Y7" s="20" t="b">
        <f t="shared" si="17"/>
        <v>0</v>
      </c>
      <c r="Z7" s="20" t="str">
        <f t="shared" si="18"/>
        <v/>
      </c>
      <c r="AA7" s="20" t="b">
        <f t="shared" si="19"/>
        <v>0</v>
      </c>
      <c r="AB7" s="20" t="str">
        <f t="shared" si="20"/>
        <v/>
      </c>
      <c r="AC7" s="20" t="b">
        <f t="shared" si="21"/>
        <v>0</v>
      </c>
      <c r="AD7" s="20" t="str">
        <f t="shared" si="22"/>
        <v/>
      </c>
      <c r="AE7" s="20" t="b">
        <f t="shared" si="23"/>
        <v>0</v>
      </c>
      <c r="AF7" s="20" t="str">
        <f t="shared" si="24"/>
        <v/>
      </c>
      <c r="AG7" s="20" t="b">
        <f t="shared" si="25"/>
        <v>0</v>
      </c>
      <c r="AH7" s="20" t="str">
        <f t="shared" si="26"/>
        <v/>
      </c>
      <c r="AI7" s="20" t="b">
        <f t="shared" si="45"/>
        <v>0</v>
      </c>
      <c r="AJ7" s="20" t="str">
        <f t="shared" si="27"/>
        <v/>
      </c>
      <c r="AK7" s="20" t="b">
        <f t="shared" si="46"/>
        <v>0</v>
      </c>
      <c r="AL7" s="20" t="str">
        <f t="shared" si="28"/>
        <v/>
      </c>
      <c r="AM7" s="20" t="b">
        <f t="shared" si="29"/>
        <v>0</v>
      </c>
      <c r="AN7" s="20" t="str">
        <f t="shared" si="30"/>
        <v/>
      </c>
      <c r="AO7" s="20" t="b">
        <f t="shared" ref="AO7:AO12" si="48">+AND($C7=4,$D7=3)</f>
        <v>0</v>
      </c>
      <c r="AP7" s="20" t="str">
        <f t="shared" si="30"/>
        <v/>
      </c>
      <c r="AQ7" s="20" t="b">
        <f t="shared" ref="AQ7:AQ12" si="49">+AND($C7=4,$D7=4)</f>
        <v>1</v>
      </c>
      <c r="AR7" s="20" t="str">
        <f t="shared" si="31"/>
        <v xml:space="preserve"> R5</v>
      </c>
      <c r="AS7" s="20" t="b">
        <f t="shared" ref="AS7:AS12" si="50">+AND($C7=4,$D7=5)</f>
        <v>0</v>
      </c>
      <c r="AT7" s="20" t="str">
        <f t="shared" si="32"/>
        <v/>
      </c>
      <c r="AU7" s="20" t="b">
        <f t="shared" si="33"/>
        <v>0</v>
      </c>
      <c r="AV7" s="20" t="str">
        <f t="shared" si="34"/>
        <v/>
      </c>
      <c r="AW7" s="20" t="b">
        <f t="shared" si="35"/>
        <v>0</v>
      </c>
      <c r="AX7" s="20" t="str">
        <f t="shared" si="36"/>
        <v/>
      </c>
      <c r="AY7" s="20" t="b">
        <f t="shared" si="37"/>
        <v>0</v>
      </c>
      <c r="AZ7" s="20" t="str">
        <f t="shared" si="38"/>
        <v/>
      </c>
      <c r="BA7" s="20" t="b">
        <f t="shared" si="39"/>
        <v>0</v>
      </c>
      <c r="BB7" s="20" t="str">
        <f t="shared" si="40"/>
        <v/>
      </c>
      <c r="BC7" s="20" t="b">
        <f t="shared" si="41"/>
        <v>0</v>
      </c>
      <c r="BD7" s="20" t="str">
        <f t="shared" si="42"/>
        <v/>
      </c>
    </row>
    <row r="8" spans="1:56" s="20" customFormat="1" ht="32.25" customHeight="1" x14ac:dyDescent="0.25">
      <c r="A8" s="63">
        <f>'RIESGO INHERENTE'!A17</f>
        <v>6</v>
      </c>
      <c r="B8" s="64" t="str">
        <f>+'RIESGO INHERENTE'!B17</f>
        <v>Utilización de servicios de remesas y cambio de divisas, formales e informales y trasiego físico de dinero en efectivo (recopilación de tipologías regionales de gafilat: 2009 - 2016)</v>
      </c>
      <c r="C8" s="63">
        <f>'RIESGO INHERENTE'!O17</f>
        <v>4</v>
      </c>
      <c r="D8" s="63">
        <f>'RIESGO INHERENTE'!P17</f>
        <v>5</v>
      </c>
      <c r="E8" s="63">
        <f t="shared" si="0"/>
        <v>2</v>
      </c>
      <c r="F8" s="63">
        <f t="shared" si="1"/>
        <v>2</v>
      </c>
      <c r="G8" s="20" t="b">
        <f>+AND(C8=1,D8=1)</f>
        <v>0</v>
      </c>
      <c r="H8" s="21" t="str">
        <f t="shared" si="2"/>
        <v/>
      </c>
      <c r="I8" s="20" t="b">
        <f t="shared" si="44"/>
        <v>0</v>
      </c>
      <c r="J8" s="20" t="str">
        <f t="shared" si="3"/>
        <v/>
      </c>
      <c r="K8" s="20" t="b">
        <f t="shared" si="4"/>
        <v>0</v>
      </c>
      <c r="L8" s="20" t="str">
        <f t="shared" si="5"/>
        <v/>
      </c>
      <c r="M8" s="20" t="b">
        <f t="shared" si="6"/>
        <v>0</v>
      </c>
      <c r="N8" s="20" t="str">
        <f t="shared" si="7"/>
        <v/>
      </c>
      <c r="O8" s="20" t="b">
        <f t="shared" si="8"/>
        <v>0</v>
      </c>
      <c r="P8" s="20" t="str">
        <f t="shared" si="9"/>
        <v/>
      </c>
      <c r="Q8" s="20" t="b">
        <f t="shared" si="10"/>
        <v>0</v>
      </c>
      <c r="R8" s="20" t="str">
        <f t="shared" si="11"/>
        <v/>
      </c>
      <c r="S8" s="20" t="b">
        <f t="shared" si="47"/>
        <v>0</v>
      </c>
      <c r="T8" s="20" t="str">
        <f t="shared" si="12"/>
        <v/>
      </c>
      <c r="U8" s="20" t="b">
        <f t="shared" si="13"/>
        <v>0</v>
      </c>
      <c r="V8" s="20" t="str">
        <f t="shared" si="14"/>
        <v/>
      </c>
      <c r="W8" s="20" t="b">
        <f t="shared" si="15"/>
        <v>0</v>
      </c>
      <c r="X8" s="20" t="str">
        <f t="shared" si="16"/>
        <v/>
      </c>
      <c r="Y8" s="20" t="b">
        <f t="shared" si="17"/>
        <v>0</v>
      </c>
      <c r="Z8" s="20" t="str">
        <f t="shared" si="18"/>
        <v/>
      </c>
      <c r="AA8" s="20" t="b">
        <f t="shared" si="19"/>
        <v>0</v>
      </c>
      <c r="AB8" s="20" t="str">
        <f t="shared" si="20"/>
        <v/>
      </c>
      <c r="AC8" s="20" t="b">
        <f t="shared" si="21"/>
        <v>0</v>
      </c>
      <c r="AD8" s="20" t="str">
        <f t="shared" si="22"/>
        <v/>
      </c>
      <c r="AE8" s="20" t="b">
        <f t="shared" si="23"/>
        <v>0</v>
      </c>
      <c r="AF8" s="20" t="str">
        <f t="shared" si="24"/>
        <v/>
      </c>
      <c r="AG8" s="20" t="b">
        <f t="shared" si="25"/>
        <v>0</v>
      </c>
      <c r="AH8" s="20" t="str">
        <f t="shared" si="26"/>
        <v/>
      </c>
      <c r="AI8" s="20" t="b">
        <f t="shared" si="45"/>
        <v>0</v>
      </c>
      <c r="AJ8" s="20" t="str">
        <f t="shared" si="27"/>
        <v/>
      </c>
      <c r="AK8" s="20" t="b">
        <f t="shared" si="46"/>
        <v>0</v>
      </c>
      <c r="AL8" s="20" t="str">
        <f t="shared" si="28"/>
        <v/>
      </c>
      <c r="AM8" s="20" t="b">
        <f t="shared" si="29"/>
        <v>0</v>
      </c>
      <c r="AN8" s="20" t="str">
        <f t="shared" si="30"/>
        <v/>
      </c>
      <c r="AO8" s="20" t="b">
        <f t="shared" si="48"/>
        <v>0</v>
      </c>
      <c r="AP8" s="20" t="str">
        <f t="shared" si="30"/>
        <v/>
      </c>
      <c r="AQ8" s="20" t="b">
        <f t="shared" si="49"/>
        <v>0</v>
      </c>
      <c r="AR8" s="20" t="str">
        <f t="shared" si="31"/>
        <v/>
      </c>
      <c r="AS8" s="20" t="b">
        <f t="shared" si="50"/>
        <v>1</v>
      </c>
      <c r="AT8" s="20" t="str">
        <f t="shared" si="32"/>
        <v xml:space="preserve"> R6</v>
      </c>
      <c r="AU8" s="20" t="b">
        <f t="shared" si="33"/>
        <v>0</v>
      </c>
      <c r="AV8" s="20" t="str">
        <f t="shared" si="34"/>
        <v/>
      </c>
      <c r="AW8" s="20" t="b">
        <f t="shared" si="35"/>
        <v>0</v>
      </c>
      <c r="AX8" s="20" t="str">
        <f t="shared" si="36"/>
        <v/>
      </c>
      <c r="AY8" s="20" t="b">
        <f t="shared" si="37"/>
        <v>0</v>
      </c>
      <c r="AZ8" s="20" t="str">
        <f t="shared" si="38"/>
        <v/>
      </c>
      <c r="BA8" s="20" t="b">
        <f t="shared" si="39"/>
        <v>0</v>
      </c>
      <c r="BB8" s="20" t="str">
        <f t="shared" si="40"/>
        <v/>
      </c>
      <c r="BC8" s="20" t="b">
        <f t="shared" si="41"/>
        <v>0</v>
      </c>
      <c r="BD8" s="20" t="str">
        <f t="shared" si="42"/>
        <v/>
      </c>
    </row>
    <row r="9" spans="1:56" s="20" customFormat="1" ht="32.25" customHeight="1" x14ac:dyDescent="0.25">
      <c r="A9" s="63">
        <f>'RIESGO INHERENTE'!A18</f>
        <v>7</v>
      </c>
      <c r="B9" s="64" t="str">
        <f>+'RIESGO INHERENTE'!B18</f>
        <v xml:space="preserve">No se realiza la consulta en listas de control periodicamente a proveedores que ya se encuentran vinculados </v>
      </c>
      <c r="C9" s="63">
        <f>'RIESGO INHERENTE'!O18</f>
        <v>4</v>
      </c>
      <c r="D9" s="63">
        <f>'RIESGO INHERENTE'!P18</f>
        <v>4</v>
      </c>
      <c r="E9" s="63">
        <f t="shared" si="0"/>
        <v>1</v>
      </c>
      <c r="F9" s="63">
        <f t="shared" si="1"/>
        <v>1</v>
      </c>
      <c r="G9" s="20" t="b">
        <f>+AND(C9=1,D9=1)</f>
        <v>0</v>
      </c>
      <c r="H9" s="21" t="str">
        <f t="shared" si="2"/>
        <v/>
      </c>
      <c r="I9" s="20" t="b">
        <f t="shared" si="44"/>
        <v>0</v>
      </c>
      <c r="J9" s="20" t="str">
        <f t="shared" si="3"/>
        <v/>
      </c>
      <c r="K9" s="20" t="b">
        <f t="shared" si="4"/>
        <v>0</v>
      </c>
      <c r="L9" s="20" t="str">
        <f t="shared" si="5"/>
        <v/>
      </c>
      <c r="M9" s="20" t="b">
        <f t="shared" si="6"/>
        <v>0</v>
      </c>
      <c r="N9" s="20" t="str">
        <f t="shared" si="7"/>
        <v/>
      </c>
      <c r="O9" s="20" t="b">
        <f t="shared" si="8"/>
        <v>0</v>
      </c>
      <c r="P9" s="20" t="str">
        <f t="shared" si="9"/>
        <v/>
      </c>
      <c r="Q9" s="20" t="b">
        <f t="shared" si="10"/>
        <v>0</v>
      </c>
      <c r="R9" s="20" t="str">
        <f t="shared" si="11"/>
        <v/>
      </c>
      <c r="S9" s="20" t="b">
        <f t="shared" si="47"/>
        <v>0</v>
      </c>
      <c r="T9" s="20" t="str">
        <f t="shared" si="12"/>
        <v/>
      </c>
      <c r="U9" s="20" t="b">
        <f t="shared" si="13"/>
        <v>0</v>
      </c>
      <c r="V9" s="20" t="str">
        <f t="shared" si="14"/>
        <v/>
      </c>
      <c r="W9" s="20" t="b">
        <f t="shared" si="15"/>
        <v>0</v>
      </c>
      <c r="X9" s="20" t="str">
        <f t="shared" si="16"/>
        <v/>
      </c>
      <c r="Y9" s="20" t="b">
        <f t="shared" si="17"/>
        <v>0</v>
      </c>
      <c r="Z9" s="20" t="str">
        <f t="shared" si="18"/>
        <v/>
      </c>
      <c r="AA9" s="20" t="b">
        <f t="shared" si="19"/>
        <v>0</v>
      </c>
      <c r="AB9" s="20" t="str">
        <f t="shared" si="20"/>
        <v/>
      </c>
      <c r="AC9" s="20" t="b">
        <f t="shared" si="21"/>
        <v>0</v>
      </c>
      <c r="AD9" s="20" t="str">
        <f t="shared" si="22"/>
        <v/>
      </c>
      <c r="AE9" s="20" t="b">
        <f t="shared" si="23"/>
        <v>0</v>
      </c>
      <c r="AF9" s="20" t="str">
        <f t="shared" si="24"/>
        <v/>
      </c>
      <c r="AG9" s="20" t="b">
        <f t="shared" si="25"/>
        <v>0</v>
      </c>
      <c r="AH9" s="20" t="str">
        <f t="shared" si="26"/>
        <v/>
      </c>
      <c r="AI9" s="20" t="b">
        <f t="shared" si="45"/>
        <v>0</v>
      </c>
      <c r="AJ9" s="20" t="str">
        <f t="shared" si="27"/>
        <v/>
      </c>
      <c r="AK9" s="20" t="b">
        <f t="shared" si="46"/>
        <v>0</v>
      </c>
      <c r="AL9" s="20" t="str">
        <f t="shared" si="28"/>
        <v/>
      </c>
      <c r="AM9" s="20" t="b">
        <f t="shared" si="29"/>
        <v>0</v>
      </c>
      <c r="AN9" s="20" t="str">
        <f t="shared" si="30"/>
        <v/>
      </c>
      <c r="AO9" s="20" t="b">
        <f t="shared" si="48"/>
        <v>0</v>
      </c>
      <c r="AP9" s="20" t="str">
        <f t="shared" si="30"/>
        <v/>
      </c>
      <c r="AQ9" s="20" t="b">
        <f t="shared" si="49"/>
        <v>1</v>
      </c>
      <c r="AR9" s="20" t="str">
        <f t="shared" si="31"/>
        <v xml:space="preserve"> R7</v>
      </c>
      <c r="AS9" s="20" t="b">
        <f t="shared" si="50"/>
        <v>0</v>
      </c>
      <c r="AT9" s="20" t="str">
        <f t="shared" si="32"/>
        <v/>
      </c>
      <c r="AU9" s="20" t="b">
        <f t="shared" si="33"/>
        <v>0</v>
      </c>
      <c r="AV9" s="20" t="str">
        <f t="shared" si="34"/>
        <v/>
      </c>
      <c r="AW9" s="20" t="b">
        <f t="shared" si="35"/>
        <v>0</v>
      </c>
      <c r="AX9" s="20" t="str">
        <f t="shared" si="36"/>
        <v/>
      </c>
      <c r="AY9" s="20" t="b">
        <f t="shared" si="37"/>
        <v>0</v>
      </c>
      <c r="AZ9" s="20" t="str">
        <f t="shared" si="38"/>
        <v/>
      </c>
      <c r="BA9" s="20" t="b">
        <f t="shared" si="39"/>
        <v>0</v>
      </c>
      <c r="BB9" s="20" t="str">
        <f t="shared" si="40"/>
        <v/>
      </c>
      <c r="BC9" s="20" t="b">
        <f t="shared" si="41"/>
        <v>0</v>
      </c>
      <c r="BD9" s="20" t="str">
        <f t="shared" si="42"/>
        <v/>
      </c>
    </row>
    <row r="10" spans="1:56" s="20" customFormat="1" ht="32.25" customHeight="1" x14ac:dyDescent="0.25">
      <c r="A10" s="63">
        <f>'RIESGO INHERENTE'!A19</f>
        <v>8</v>
      </c>
      <c r="B10" s="64" t="str">
        <f>+'RIESGO INHERENTE'!B19</f>
        <v>A los proveedores vinculados no se les realiza anualmente actualización de la información.</v>
      </c>
      <c r="C10" s="63">
        <f>'RIESGO INHERENTE'!O19</f>
        <v>4</v>
      </c>
      <c r="D10" s="63">
        <f>'RIESGO INHERENTE'!P19</f>
        <v>4</v>
      </c>
      <c r="E10" s="63">
        <f t="shared" si="0"/>
        <v>1</v>
      </c>
      <c r="F10" s="63">
        <f t="shared" si="1"/>
        <v>1</v>
      </c>
      <c r="G10" s="20" t="b">
        <f t="shared" si="43"/>
        <v>0</v>
      </c>
      <c r="H10" s="21" t="str">
        <f t="shared" si="2"/>
        <v/>
      </c>
      <c r="I10" s="20" t="b">
        <f t="shared" si="44"/>
        <v>0</v>
      </c>
      <c r="J10" s="20" t="str">
        <f t="shared" si="3"/>
        <v/>
      </c>
      <c r="K10" s="20" t="b">
        <f t="shared" si="4"/>
        <v>0</v>
      </c>
      <c r="L10" s="20" t="str">
        <f t="shared" si="5"/>
        <v/>
      </c>
      <c r="M10" s="20" t="b">
        <f t="shared" si="6"/>
        <v>0</v>
      </c>
      <c r="N10" s="20" t="str">
        <f t="shared" si="7"/>
        <v/>
      </c>
      <c r="O10" s="20" t="b">
        <f t="shared" si="8"/>
        <v>0</v>
      </c>
      <c r="P10" s="20" t="str">
        <f t="shared" si="9"/>
        <v/>
      </c>
      <c r="Q10" s="20" t="b">
        <f t="shared" si="10"/>
        <v>0</v>
      </c>
      <c r="R10" s="20" t="str">
        <f t="shared" si="11"/>
        <v/>
      </c>
      <c r="S10" s="20" t="b">
        <f t="shared" si="47"/>
        <v>0</v>
      </c>
      <c r="T10" s="20" t="str">
        <f t="shared" si="12"/>
        <v/>
      </c>
      <c r="U10" s="20" t="b">
        <f t="shared" si="13"/>
        <v>0</v>
      </c>
      <c r="V10" s="20" t="str">
        <f t="shared" si="14"/>
        <v/>
      </c>
      <c r="W10" s="20" t="b">
        <f t="shared" si="15"/>
        <v>0</v>
      </c>
      <c r="X10" s="20" t="str">
        <f t="shared" si="16"/>
        <v/>
      </c>
      <c r="Y10" s="20" t="b">
        <f t="shared" si="17"/>
        <v>0</v>
      </c>
      <c r="Z10" s="20" t="str">
        <f t="shared" si="18"/>
        <v/>
      </c>
      <c r="AA10" s="20" t="b">
        <f t="shared" si="19"/>
        <v>0</v>
      </c>
      <c r="AB10" s="20" t="str">
        <f t="shared" si="20"/>
        <v/>
      </c>
      <c r="AC10" s="20" t="b">
        <f t="shared" si="21"/>
        <v>0</v>
      </c>
      <c r="AD10" s="20" t="str">
        <f t="shared" si="22"/>
        <v/>
      </c>
      <c r="AE10" s="20" t="b">
        <f t="shared" si="23"/>
        <v>0</v>
      </c>
      <c r="AF10" s="20" t="str">
        <f t="shared" si="24"/>
        <v/>
      </c>
      <c r="AG10" s="20" t="b">
        <f t="shared" si="25"/>
        <v>0</v>
      </c>
      <c r="AH10" s="20" t="str">
        <f t="shared" si="26"/>
        <v/>
      </c>
      <c r="AI10" s="20" t="b">
        <f t="shared" si="45"/>
        <v>0</v>
      </c>
      <c r="AJ10" s="20" t="str">
        <f t="shared" si="27"/>
        <v/>
      </c>
      <c r="AK10" s="20" t="b">
        <f t="shared" si="46"/>
        <v>0</v>
      </c>
      <c r="AL10" s="20" t="str">
        <f t="shared" si="28"/>
        <v/>
      </c>
      <c r="AM10" s="20" t="b">
        <f t="shared" si="29"/>
        <v>0</v>
      </c>
      <c r="AN10" s="20" t="str">
        <f t="shared" si="30"/>
        <v/>
      </c>
      <c r="AO10" s="20" t="b">
        <f t="shared" si="48"/>
        <v>0</v>
      </c>
      <c r="AP10" s="20" t="str">
        <f t="shared" si="30"/>
        <v/>
      </c>
      <c r="AQ10" s="20" t="b">
        <f t="shared" si="49"/>
        <v>1</v>
      </c>
      <c r="AR10" s="20" t="str">
        <f t="shared" si="31"/>
        <v xml:space="preserve"> R8</v>
      </c>
      <c r="AS10" s="20" t="b">
        <f t="shared" si="50"/>
        <v>0</v>
      </c>
      <c r="AT10" s="20" t="str">
        <f t="shared" si="32"/>
        <v/>
      </c>
      <c r="AU10" s="20" t="b">
        <f t="shared" si="33"/>
        <v>0</v>
      </c>
      <c r="AV10" s="20" t="str">
        <f t="shared" si="34"/>
        <v/>
      </c>
      <c r="AW10" s="20" t="b">
        <f t="shared" si="35"/>
        <v>0</v>
      </c>
      <c r="AX10" s="20" t="str">
        <f t="shared" si="36"/>
        <v/>
      </c>
      <c r="AY10" s="20" t="b">
        <f t="shared" si="37"/>
        <v>0</v>
      </c>
      <c r="AZ10" s="20" t="str">
        <f t="shared" si="38"/>
        <v/>
      </c>
      <c r="BA10" s="20" t="b">
        <f t="shared" si="39"/>
        <v>0</v>
      </c>
      <c r="BB10" s="20" t="str">
        <f t="shared" si="40"/>
        <v/>
      </c>
      <c r="BC10" s="20" t="b">
        <f t="shared" si="41"/>
        <v>0</v>
      </c>
      <c r="BD10" s="20" t="str">
        <f t="shared" si="42"/>
        <v/>
      </c>
    </row>
    <row r="11" spans="1:56" s="20" customFormat="1" x14ac:dyDescent="0.25">
      <c r="A11" s="63">
        <f>'RIESGO INHERENTE'!A20</f>
        <v>9</v>
      </c>
      <c r="B11" s="64" t="str">
        <f>+'RIESGO INHERENTE'!B20</f>
        <v>Se reciban prepagos de arrendamientos sin verificar el origen de los fondos.</v>
      </c>
      <c r="C11" s="63">
        <f>'RIESGO INHERENTE'!O20</f>
        <v>5</v>
      </c>
      <c r="D11" s="63">
        <f>'RIESGO INHERENTE'!P20</f>
        <v>4</v>
      </c>
      <c r="E11" s="63">
        <f t="shared" si="0"/>
        <v>1</v>
      </c>
      <c r="F11" s="63">
        <f t="shared" si="1"/>
        <v>1</v>
      </c>
      <c r="G11" s="20" t="b">
        <f t="shared" si="43"/>
        <v>0</v>
      </c>
      <c r="H11" s="21" t="str">
        <f t="shared" si="2"/>
        <v/>
      </c>
      <c r="I11" s="20" t="b">
        <f t="shared" si="44"/>
        <v>0</v>
      </c>
      <c r="J11" s="20" t="str">
        <f t="shared" si="3"/>
        <v/>
      </c>
      <c r="K11" s="20" t="b">
        <f t="shared" si="4"/>
        <v>0</v>
      </c>
      <c r="L11" s="20" t="str">
        <f t="shared" si="5"/>
        <v/>
      </c>
      <c r="M11" s="20" t="b">
        <f t="shared" si="6"/>
        <v>0</v>
      </c>
      <c r="N11" s="20" t="str">
        <f t="shared" si="7"/>
        <v/>
      </c>
      <c r="O11" s="20" t="b">
        <f t="shared" si="8"/>
        <v>0</v>
      </c>
      <c r="P11" s="20" t="str">
        <f t="shared" si="9"/>
        <v/>
      </c>
      <c r="Q11" s="20" t="b">
        <f t="shared" si="10"/>
        <v>0</v>
      </c>
      <c r="R11" s="20" t="str">
        <f t="shared" si="11"/>
        <v/>
      </c>
      <c r="S11" s="20" t="b">
        <f t="shared" si="47"/>
        <v>0</v>
      </c>
      <c r="T11" s="20" t="str">
        <f t="shared" si="12"/>
        <v/>
      </c>
      <c r="U11" s="20" t="b">
        <f t="shared" si="13"/>
        <v>0</v>
      </c>
      <c r="V11" s="20" t="str">
        <f t="shared" si="14"/>
        <v/>
      </c>
      <c r="W11" s="20" t="b">
        <f t="shared" si="15"/>
        <v>0</v>
      </c>
      <c r="X11" s="20" t="str">
        <f t="shared" si="16"/>
        <v/>
      </c>
      <c r="Y11" s="20" t="b">
        <f t="shared" si="17"/>
        <v>0</v>
      </c>
      <c r="Z11" s="20" t="str">
        <f t="shared" si="18"/>
        <v/>
      </c>
      <c r="AA11" s="20" t="b">
        <f t="shared" si="19"/>
        <v>0</v>
      </c>
      <c r="AB11" s="20" t="str">
        <f t="shared" si="20"/>
        <v/>
      </c>
      <c r="AC11" s="20" t="b">
        <f t="shared" si="21"/>
        <v>0</v>
      </c>
      <c r="AD11" s="20" t="str">
        <f t="shared" si="22"/>
        <v/>
      </c>
      <c r="AE11" s="20" t="b">
        <f t="shared" si="23"/>
        <v>0</v>
      </c>
      <c r="AF11" s="20" t="str">
        <f t="shared" si="24"/>
        <v/>
      </c>
      <c r="AG11" s="20" t="b">
        <f t="shared" si="25"/>
        <v>0</v>
      </c>
      <c r="AH11" s="20" t="str">
        <f t="shared" si="26"/>
        <v/>
      </c>
      <c r="AI11" s="20" t="b">
        <f t="shared" si="45"/>
        <v>0</v>
      </c>
      <c r="AJ11" s="20" t="str">
        <f t="shared" si="27"/>
        <v/>
      </c>
      <c r="AK11" s="20" t="b">
        <f t="shared" si="46"/>
        <v>0</v>
      </c>
      <c r="AL11" s="20" t="str">
        <f t="shared" si="28"/>
        <v/>
      </c>
      <c r="AM11" s="20" t="b">
        <f t="shared" si="29"/>
        <v>0</v>
      </c>
      <c r="AN11" s="20" t="str">
        <f t="shared" si="30"/>
        <v/>
      </c>
      <c r="AO11" s="20" t="b">
        <f t="shared" si="48"/>
        <v>0</v>
      </c>
      <c r="AP11" s="20" t="str">
        <f t="shared" si="30"/>
        <v/>
      </c>
      <c r="AQ11" s="20" t="b">
        <f t="shared" si="49"/>
        <v>0</v>
      </c>
      <c r="AR11" s="20" t="str">
        <f t="shared" si="31"/>
        <v/>
      </c>
      <c r="AS11" s="20" t="b">
        <f t="shared" si="50"/>
        <v>0</v>
      </c>
      <c r="AT11" s="20" t="str">
        <f t="shared" si="32"/>
        <v/>
      </c>
      <c r="AU11" s="20" t="b">
        <f t="shared" si="33"/>
        <v>0</v>
      </c>
      <c r="AV11" s="20" t="str">
        <f t="shared" si="34"/>
        <v/>
      </c>
      <c r="AW11" s="20" t="b">
        <f t="shared" si="35"/>
        <v>0</v>
      </c>
      <c r="AX11" s="20" t="str">
        <f t="shared" si="36"/>
        <v/>
      </c>
      <c r="AY11" s="20" t="b">
        <f t="shared" si="37"/>
        <v>0</v>
      </c>
      <c r="AZ11" s="20" t="str">
        <f t="shared" si="38"/>
        <v/>
      </c>
      <c r="BA11" s="20" t="b">
        <f t="shared" si="39"/>
        <v>1</v>
      </c>
      <c r="BB11" s="20" t="str">
        <f t="shared" si="40"/>
        <v xml:space="preserve"> R9</v>
      </c>
      <c r="BC11" s="20" t="b">
        <f t="shared" si="41"/>
        <v>0</v>
      </c>
      <c r="BD11" s="20" t="str">
        <f t="shared" si="42"/>
        <v/>
      </c>
    </row>
    <row r="12" spans="1:56" s="20" customFormat="1" x14ac:dyDescent="0.25">
      <c r="A12" s="63">
        <f>'RIESGO INHERENTE'!A21</f>
        <v>10</v>
      </c>
      <c r="B12" s="64" t="str">
        <f>+'RIESGO INHERENTE'!B21</f>
        <v>No se realiza la calificación o score de riesgo LA/FT/FPADM de los clientes previa vinculación</v>
      </c>
      <c r="C12" s="63">
        <f>'RIESGO INHERENTE'!O21</f>
        <v>5</v>
      </c>
      <c r="D12" s="63">
        <f>'RIESGO INHERENTE'!P21</f>
        <v>4</v>
      </c>
      <c r="E12" s="63">
        <f t="shared" si="0"/>
        <v>1</v>
      </c>
      <c r="F12" s="63">
        <f t="shared" si="1"/>
        <v>1</v>
      </c>
      <c r="G12" s="20" t="b">
        <f t="shared" si="43"/>
        <v>0</v>
      </c>
      <c r="H12" s="21" t="str">
        <f t="shared" si="2"/>
        <v/>
      </c>
      <c r="I12" s="20" t="b">
        <f t="shared" si="44"/>
        <v>0</v>
      </c>
      <c r="J12" s="20" t="str">
        <f t="shared" si="3"/>
        <v/>
      </c>
      <c r="K12" s="20" t="b">
        <f t="shared" si="4"/>
        <v>0</v>
      </c>
      <c r="L12" s="20" t="str">
        <f t="shared" si="5"/>
        <v/>
      </c>
      <c r="M12" s="20" t="b">
        <f t="shared" si="6"/>
        <v>0</v>
      </c>
      <c r="N12" s="20" t="str">
        <f t="shared" si="7"/>
        <v/>
      </c>
      <c r="O12" s="20" t="b">
        <f t="shared" si="8"/>
        <v>0</v>
      </c>
      <c r="P12" s="20" t="str">
        <f t="shared" si="9"/>
        <v/>
      </c>
      <c r="Q12" s="20" t="b">
        <f t="shared" si="10"/>
        <v>0</v>
      </c>
      <c r="R12" s="20" t="str">
        <f t="shared" si="11"/>
        <v/>
      </c>
      <c r="S12" s="20" t="b">
        <f t="shared" si="47"/>
        <v>0</v>
      </c>
      <c r="T12" s="20" t="str">
        <f t="shared" si="12"/>
        <v/>
      </c>
      <c r="U12" s="20" t="b">
        <f t="shared" si="13"/>
        <v>0</v>
      </c>
      <c r="V12" s="20" t="str">
        <f t="shared" si="14"/>
        <v/>
      </c>
      <c r="W12" s="20" t="b">
        <f t="shared" si="15"/>
        <v>0</v>
      </c>
      <c r="X12" s="20" t="str">
        <f t="shared" si="16"/>
        <v/>
      </c>
      <c r="Y12" s="20" t="b">
        <f t="shared" si="17"/>
        <v>0</v>
      </c>
      <c r="Z12" s="20" t="str">
        <f t="shared" si="18"/>
        <v/>
      </c>
      <c r="AA12" s="20" t="b">
        <f t="shared" si="19"/>
        <v>0</v>
      </c>
      <c r="AB12" s="20" t="str">
        <f t="shared" si="20"/>
        <v/>
      </c>
      <c r="AC12" s="20" t="b">
        <f t="shared" si="21"/>
        <v>0</v>
      </c>
      <c r="AD12" s="20" t="str">
        <f t="shared" si="22"/>
        <v/>
      </c>
      <c r="AE12" s="20" t="b">
        <f t="shared" si="23"/>
        <v>0</v>
      </c>
      <c r="AF12" s="20" t="str">
        <f t="shared" si="24"/>
        <v/>
      </c>
      <c r="AG12" s="20" t="b">
        <f t="shared" si="25"/>
        <v>0</v>
      </c>
      <c r="AH12" s="20" t="str">
        <f t="shared" si="26"/>
        <v/>
      </c>
      <c r="AI12" s="20" t="b">
        <f t="shared" si="45"/>
        <v>0</v>
      </c>
      <c r="AJ12" s="20" t="str">
        <f t="shared" si="27"/>
        <v/>
      </c>
      <c r="AK12" s="20" t="b">
        <f t="shared" si="46"/>
        <v>0</v>
      </c>
      <c r="AL12" s="20" t="str">
        <f t="shared" si="28"/>
        <v/>
      </c>
      <c r="AM12" s="20" t="b">
        <f t="shared" si="29"/>
        <v>0</v>
      </c>
      <c r="AN12" s="20" t="str">
        <f t="shared" si="30"/>
        <v/>
      </c>
      <c r="AO12" s="20" t="b">
        <f t="shared" si="48"/>
        <v>0</v>
      </c>
      <c r="AP12" s="20" t="str">
        <f t="shared" si="30"/>
        <v/>
      </c>
      <c r="AQ12" s="20" t="b">
        <f t="shared" si="49"/>
        <v>0</v>
      </c>
      <c r="AR12" s="20" t="str">
        <f t="shared" si="31"/>
        <v/>
      </c>
      <c r="AS12" s="20" t="b">
        <f t="shared" si="50"/>
        <v>0</v>
      </c>
      <c r="AT12" s="20" t="str">
        <f t="shared" si="32"/>
        <v/>
      </c>
      <c r="AU12" s="20" t="b">
        <f t="shared" si="33"/>
        <v>0</v>
      </c>
      <c r="AV12" s="20" t="str">
        <f t="shared" si="34"/>
        <v/>
      </c>
      <c r="AW12" s="20" t="b">
        <f t="shared" si="35"/>
        <v>0</v>
      </c>
      <c r="AX12" s="20" t="str">
        <f t="shared" si="36"/>
        <v/>
      </c>
      <c r="AY12" s="20" t="b">
        <f t="shared" si="37"/>
        <v>0</v>
      </c>
      <c r="AZ12" s="20" t="str">
        <f t="shared" si="38"/>
        <v/>
      </c>
      <c r="BA12" s="20" t="b">
        <f t="shared" si="39"/>
        <v>1</v>
      </c>
      <c r="BB12" s="20" t="str">
        <f t="shared" si="40"/>
        <v xml:space="preserve"> R10</v>
      </c>
      <c r="BC12" s="20" t="b">
        <f t="shared" si="41"/>
        <v>0</v>
      </c>
      <c r="BD12" s="20" t="str">
        <f t="shared" si="42"/>
        <v/>
      </c>
    </row>
    <row r="13" spans="1:56" s="20" customFormat="1" ht="30" x14ac:dyDescent="0.25">
      <c r="A13" s="63">
        <f>'RIESGO INHERENTE'!A22</f>
        <v>11</v>
      </c>
      <c r="B13" s="64" t="str">
        <f>+'RIESGO INHERENTE'!B22</f>
        <v>Se vinculan proveedores sin que se pueda establecer la legitimidad de sus actividades o procedencia de sus fondos.</v>
      </c>
      <c r="C13" s="63">
        <f>'RIESGO INHERENTE'!O22</f>
        <v>5</v>
      </c>
      <c r="D13" s="63">
        <f>'RIESGO INHERENTE'!P22</f>
        <v>4</v>
      </c>
      <c r="E13" s="63">
        <f t="shared" si="0"/>
        <v>1</v>
      </c>
      <c r="F13" s="63">
        <f t="shared" si="1"/>
        <v>1</v>
      </c>
      <c r="G13" s="20" t="b">
        <f t="shared" si="43"/>
        <v>0</v>
      </c>
      <c r="H13" s="21" t="str">
        <f t="shared" si="2"/>
        <v/>
      </c>
      <c r="I13" s="20" t="b">
        <f t="shared" si="44"/>
        <v>0</v>
      </c>
      <c r="J13" s="20" t="str">
        <f t="shared" si="3"/>
        <v/>
      </c>
      <c r="K13" s="20" t="b">
        <f t="shared" si="4"/>
        <v>0</v>
      </c>
      <c r="L13" s="20" t="str">
        <f t="shared" si="5"/>
        <v/>
      </c>
      <c r="M13" s="20" t="b">
        <f t="shared" si="6"/>
        <v>0</v>
      </c>
      <c r="N13" s="20" t="str">
        <f t="shared" si="7"/>
        <v/>
      </c>
      <c r="O13" s="20" t="b">
        <f t="shared" si="8"/>
        <v>0</v>
      </c>
      <c r="P13" s="20" t="str">
        <f t="shared" si="9"/>
        <v/>
      </c>
      <c r="Q13" s="20" t="b">
        <f t="shared" si="10"/>
        <v>0</v>
      </c>
      <c r="R13" s="20" t="str">
        <f t="shared" si="11"/>
        <v/>
      </c>
      <c r="S13" s="20" t="b">
        <f t="shared" si="47"/>
        <v>0</v>
      </c>
      <c r="T13" s="20" t="str">
        <f t="shared" si="12"/>
        <v/>
      </c>
      <c r="U13" s="20" t="b">
        <f t="shared" si="13"/>
        <v>0</v>
      </c>
      <c r="V13" s="20" t="str">
        <f t="shared" si="14"/>
        <v/>
      </c>
      <c r="W13" s="20" t="b">
        <f t="shared" si="15"/>
        <v>0</v>
      </c>
      <c r="X13" s="20" t="str">
        <f t="shared" si="16"/>
        <v/>
      </c>
      <c r="Y13" s="20" t="b">
        <f t="shared" si="17"/>
        <v>0</v>
      </c>
      <c r="Z13" s="20" t="str">
        <f t="shared" si="18"/>
        <v/>
      </c>
      <c r="AA13" s="20" t="b">
        <f>+AND($C14=3,$D14=1)</f>
        <v>0</v>
      </c>
      <c r="AB13" s="20" t="str">
        <f t="shared" si="20"/>
        <v/>
      </c>
      <c r="AC13" s="20" t="b">
        <f>+AND($C14=3,$D14=2)</f>
        <v>0</v>
      </c>
      <c r="AD13" s="20" t="str">
        <f t="shared" si="22"/>
        <v/>
      </c>
      <c r="AE13" s="20" t="b">
        <f>+AND($C14=3,$D14=3)</f>
        <v>0</v>
      </c>
      <c r="AF13" s="20" t="str">
        <f t="shared" si="24"/>
        <v/>
      </c>
      <c r="AG13" s="20" t="b">
        <f t="shared" si="25"/>
        <v>0</v>
      </c>
      <c r="AH13" s="20" t="str">
        <f t="shared" si="26"/>
        <v/>
      </c>
      <c r="AI13" s="20" t="b">
        <f>+AND($C14=3,$D14=5)</f>
        <v>0</v>
      </c>
      <c r="AJ13" s="20" t="str">
        <f t="shared" si="27"/>
        <v/>
      </c>
      <c r="AK13" s="20" t="b">
        <f>+AND($C14=4,$D14=1)</f>
        <v>0</v>
      </c>
      <c r="AL13" s="20" t="str">
        <f t="shared" si="28"/>
        <v/>
      </c>
      <c r="AM13" s="20" t="b">
        <f>+AND($C14=4,$D14=2)</f>
        <v>0</v>
      </c>
      <c r="AN13" s="20" t="str">
        <f t="shared" si="30"/>
        <v/>
      </c>
      <c r="AO13" s="20" t="b">
        <f>+AND($C14=4,$D14=3)</f>
        <v>0</v>
      </c>
      <c r="AP13" s="20" t="str">
        <f t="shared" si="30"/>
        <v/>
      </c>
      <c r="AQ13" s="20" t="b">
        <f>+AND($C14=4,$D14=4)</f>
        <v>0</v>
      </c>
      <c r="AR13" s="20" t="str">
        <f t="shared" si="31"/>
        <v/>
      </c>
      <c r="AS13" s="20" t="b">
        <f>+AND($C14=4,$D14=5)</f>
        <v>0</v>
      </c>
      <c r="AT13" s="20" t="str">
        <f t="shared" si="32"/>
        <v/>
      </c>
      <c r="AU13" s="20" t="b">
        <f>+AND($C14=5,$D14=1)</f>
        <v>0</v>
      </c>
      <c r="AV13" s="20" t="str">
        <f t="shared" si="34"/>
        <v/>
      </c>
      <c r="AW13" s="20" t="b">
        <f>+AND($C14=5,$D14=2)</f>
        <v>0</v>
      </c>
      <c r="AX13" s="20" t="str">
        <f t="shared" si="36"/>
        <v/>
      </c>
      <c r="AY13" s="20" t="b">
        <f>+AND($C14=5,$D14=3)</f>
        <v>0</v>
      </c>
      <c r="AZ13" s="20" t="str">
        <f t="shared" si="38"/>
        <v/>
      </c>
      <c r="BA13" s="20" t="b">
        <f>+AND($C14=5,$D14=4)</f>
        <v>0</v>
      </c>
      <c r="BB13" s="20" t="str">
        <f t="shared" si="40"/>
        <v/>
      </c>
      <c r="BC13" s="20" t="b">
        <f t="shared" si="41"/>
        <v>0</v>
      </c>
      <c r="BD13" s="20" t="str">
        <f t="shared" si="42"/>
        <v/>
      </c>
    </row>
    <row r="14" spans="1:56" s="20" customFormat="1" x14ac:dyDescent="0.25">
      <c r="A14" s="63">
        <f>'RIESGO INHERENTE'!A23</f>
        <v>12</v>
      </c>
      <c r="B14" s="64" t="str">
        <f>+'RIESGO INHERENTE'!B23</f>
        <v>Se vinculen proveedores nacionales o extranjeros ubicados en jurisdicciones consideradas como Alto Riesgo</v>
      </c>
      <c r="C14" s="63">
        <f>'RIESGO INHERENTE'!O23</f>
        <v>5</v>
      </c>
      <c r="D14" s="63">
        <f>'RIESGO INHERENTE'!P23</f>
        <v>5</v>
      </c>
      <c r="E14" s="63">
        <f t="shared" si="0"/>
        <v>1</v>
      </c>
      <c r="F14" s="63">
        <f t="shared" si="1"/>
        <v>1</v>
      </c>
      <c r="G14" s="20" t="b">
        <f t="shared" si="43"/>
        <v>0</v>
      </c>
      <c r="H14" s="21" t="str">
        <f t="shared" si="2"/>
        <v/>
      </c>
      <c r="I14" s="20" t="b">
        <f t="shared" si="44"/>
        <v>0</v>
      </c>
      <c r="J14" s="20" t="str">
        <f t="shared" si="3"/>
        <v/>
      </c>
      <c r="K14" s="20" t="b">
        <f t="shared" si="4"/>
        <v>0</v>
      </c>
      <c r="L14" s="20" t="str">
        <f t="shared" si="5"/>
        <v/>
      </c>
      <c r="M14" s="20" t="b">
        <f t="shared" si="6"/>
        <v>0</v>
      </c>
      <c r="N14" s="20" t="str">
        <f t="shared" si="7"/>
        <v/>
      </c>
      <c r="O14" s="20" t="b">
        <f t="shared" si="8"/>
        <v>0</v>
      </c>
      <c r="P14" s="20" t="str">
        <f t="shared" si="9"/>
        <v/>
      </c>
      <c r="Q14" s="20" t="b">
        <f t="shared" si="10"/>
        <v>0</v>
      </c>
      <c r="R14" s="20" t="str">
        <f t="shared" si="11"/>
        <v/>
      </c>
      <c r="S14" s="20" t="b">
        <f t="shared" si="47"/>
        <v>0</v>
      </c>
      <c r="T14" s="20" t="str">
        <f t="shared" si="12"/>
        <v/>
      </c>
      <c r="U14" s="20" t="b">
        <f t="shared" si="13"/>
        <v>0</v>
      </c>
      <c r="V14" s="20" t="str">
        <f t="shared" si="14"/>
        <v/>
      </c>
      <c r="W14" s="20" t="b">
        <f t="shared" si="15"/>
        <v>0</v>
      </c>
      <c r="X14" s="20" t="str">
        <f t="shared" si="16"/>
        <v/>
      </c>
      <c r="Y14" s="20" t="b">
        <f t="shared" si="17"/>
        <v>0</v>
      </c>
      <c r="Z14" s="20" t="str">
        <f t="shared" si="18"/>
        <v/>
      </c>
      <c r="AA14" s="20" t="b">
        <f>+AND($C14=3,$D14=1)</f>
        <v>0</v>
      </c>
      <c r="AB14" s="20" t="str">
        <f t="shared" si="20"/>
        <v/>
      </c>
      <c r="AC14" s="20" t="b">
        <f>+AND($C14=3,$D14=2)</f>
        <v>0</v>
      </c>
      <c r="AD14" s="20" t="str">
        <f t="shared" si="22"/>
        <v/>
      </c>
      <c r="AE14" s="20" t="b">
        <f>+AND($C14=3,$D14=3)</f>
        <v>0</v>
      </c>
      <c r="AF14" s="20" t="str">
        <f t="shared" si="24"/>
        <v/>
      </c>
      <c r="AG14" s="20" t="b">
        <f t="shared" si="25"/>
        <v>0</v>
      </c>
      <c r="AH14" s="20" t="str">
        <f t="shared" si="26"/>
        <v/>
      </c>
      <c r="AI14" s="20" t="b">
        <f>+AND($C14=3,$D14=5)</f>
        <v>0</v>
      </c>
      <c r="AJ14" s="20" t="str">
        <f t="shared" si="27"/>
        <v/>
      </c>
      <c r="AK14" s="20" t="b">
        <f>+AND($C14=4,$D14=1)</f>
        <v>0</v>
      </c>
      <c r="AL14" s="20" t="str">
        <f t="shared" si="28"/>
        <v/>
      </c>
      <c r="AM14" s="20" t="b">
        <f>+AND($C14=4,$D14=2)</f>
        <v>0</v>
      </c>
      <c r="AN14" s="20" t="str">
        <f t="shared" si="30"/>
        <v/>
      </c>
      <c r="AO14" s="20" t="b">
        <f>+AND($C14=4,$D14=3)</f>
        <v>0</v>
      </c>
      <c r="AP14" s="20" t="str">
        <f t="shared" si="30"/>
        <v/>
      </c>
      <c r="AQ14" s="20" t="b">
        <f>+AND($C14=4,$D14=4)</f>
        <v>0</v>
      </c>
      <c r="AR14" s="20" t="str">
        <f t="shared" si="31"/>
        <v/>
      </c>
      <c r="AS14" s="20" t="b">
        <f>+AND($C14=4,$D14=5)</f>
        <v>0</v>
      </c>
      <c r="AT14" s="20" t="str">
        <f t="shared" si="32"/>
        <v/>
      </c>
      <c r="AU14" s="20" t="b">
        <f>+AND($C14=5,$D14=1)</f>
        <v>0</v>
      </c>
      <c r="AV14" s="20" t="str">
        <f t="shared" si="34"/>
        <v/>
      </c>
      <c r="AW14" s="20" t="b">
        <f>+AND($C14=5,$D14=2)</f>
        <v>0</v>
      </c>
      <c r="AX14" s="20" t="str">
        <f t="shared" si="36"/>
        <v/>
      </c>
      <c r="AY14" s="20" t="b">
        <f>+AND($C14=5,$D14=3)</f>
        <v>0</v>
      </c>
      <c r="AZ14" s="20" t="str">
        <f t="shared" si="38"/>
        <v/>
      </c>
      <c r="BA14" s="20" t="b">
        <f>+AND($C14=5,$D14=4)</f>
        <v>0</v>
      </c>
      <c r="BB14" s="20" t="str">
        <f t="shared" si="40"/>
        <v/>
      </c>
      <c r="BC14" s="20" t="b">
        <f t="shared" si="41"/>
        <v>1</v>
      </c>
      <c r="BD14" s="20" t="str">
        <f t="shared" si="42"/>
        <v xml:space="preserve"> R12</v>
      </c>
    </row>
    <row r="15" spans="1:56" s="20" customFormat="1" ht="30" x14ac:dyDescent="0.25">
      <c r="A15" s="63">
        <f>'RIESGO INHERENTE'!A24</f>
        <v>13</v>
      </c>
      <c r="B15" s="64" t="str">
        <f>+'RIESGO INHERENTE'!B24</f>
        <v>Se creen productos o nuevas líneas de negocio sin un análisis previo de su vulnerabilidad por parte del Oficial de Cumplimiento de impacto frente al riesgo de LA/FT/FPADM.</v>
      </c>
      <c r="C15" s="63">
        <f>'RIESGO INHERENTE'!O24</f>
        <v>4</v>
      </c>
      <c r="D15" s="63">
        <f>'RIESGO INHERENTE'!P24</f>
        <v>4</v>
      </c>
      <c r="E15" s="63">
        <f t="shared" ref="E15:E23" si="51">+C47</f>
        <v>1</v>
      </c>
      <c r="F15" s="63">
        <f t="shared" ref="F15:F23" si="52">+D47</f>
        <v>1</v>
      </c>
      <c r="I15" s="20" t="b">
        <f t="shared" ref="I15:I23" si="53">+AND(C15=1,D15=2)</f>
        <v>0</v>
      </c>
      <c r="J15" s="20" t="str">
        <f t="shared" ref="J15:J23" si="54">+IF(I15," R"&amp;A15,"")</f>
        <v/>
      </c>
      <c r="K15" s="20" t="b">
        <f t="shared" si="4"/>
        <v>0</v>
      </c>
      <c r="L15" s="20" t="str">
        <f t="shared" ref="L15:L23" si="55">+IF(K15," R"&amp;$A15,"")</f>
        <v/>
      </c>
      <c r="M15" s="20" t="b">
        <f t="shared" si="6"/>
        <v>0</v>
      </c>
      <c r="N15" s="20" t="str">
        <f t="shared" ref="N15:N23" si="56">+IF(M15," R"&amp;$A15,"")</f>
        <v/>
      </c>
      <c r="O15" s="20" t="b">
        <f t="shared" si="8"/>
        <v>0</v>
      </c>
      <c r="P15" s="20" t="str">
        <f t="shared" ref="P15:P23" si="57">+IF(O15," R"&amp;$A15,"")</f>
        <v/>
      </c>
      <c r="Q15" s="20" t="b">
        <f t="shared" si="10"/>
        <v>0</v>
      </c>
      <c r="R15" s="20" t="str">
        <f t="shared" ref="R15:R23" si="58">+IF(Q15," R"&amp;$A15,"")</f>
        <v/>
      </c>
      <c r="S15" s="20" t="b">
        <f t="shared" si="47"/>
        <v>0</v>
      </c>
      <c r="T15" s="20" t="str">
        <f t="shared" ref="T15:T23" si="59">+IF(S15," R"&amp;$A15,"")</f>
        <v/>
      </c>
      <c r="U15" s="20" t="b">
        <f t="shared" si="13"/>
        <v>0</v>
      </c>
      <c r="V15" s="20" t="str">
        <f t="shared" ref="V15:V23" si="60">+IF(U15," R"&amp;$A15,"")</f>
        <v/>
      </c>
      <c r="W15" s="20" t="b">
        <f t="shared" si="15"/>
        <v>0</v>
      </c>
      <c r="X15" s="20" t="str">
        <f t="shared" ref="X15:X23" si="61">+IF(W15," R"&amp;$A15,"")</f>
        <v/>
      </c>
      <c r="Y15" s="20" t="b">
        <f t="shared" si="17"/>
        <v>0</v>
      </c>
      <c r="Z15" s="20" t="str">
        <f t="shared" ref="Z15:Z23" si="62">+IF(Y15," R"&amp;$A15,"")</f>
        <v/>
      </c>
      <c r="AA15" s="20" t="b">
        <f t="shared" ref="AA15:AA23" si="63">+AND($C15=3,$D15=1)</f>
        <v>0</v>
      </c>
      <c r="AB15" s="20" t="str">
        <f t="shared" ref="AB15:AB23" si="64">+IF(AA15," R"&amp;$A15,"")</f>
        <v/>
      </c>
      <c r="AC15" s="20" t="b">
        <f t="shared" ref="AC15:AC23" si="65">+AND($C15=3,$D15=2)</f>
        <v>0</v>
      </c>
      <c r="AD15" s="20" t="str">
        <f t="shared" ref="AD15:AD23" si="66">+IF(AC15," R"&amp;$A15,"")</f>
        <v/>
      </c>
      <c r="AE15" s="20" t="b">
        <f t="shared" ref="AE15:AE23" si="67">+AND($C15=3,$D15=3)</f>
        <v>0</v>
      </c>
      <c r="AF15" s="20" t="str">
        <f t="shared" ref="AF15:AF23" si="68">+IF(AE15," R"&amp;$A15,"")</f>
        <v/>
      </c>
      <c r="AG15" s="20" t="b">
        <f t="shared" si="25"/>
        <v>0</v>
      </c>
      <c r="AH15" s="20" t="str">
        <f t="shared" ref="AH15:AH23" si="69">+IF(AG15," R"&amp;$A15,"")</f>
        <v/>
      </c>
      <c r="AI15" s="20" t="b">
        <f t="shared" ref="AI15:AI23" si="70">+AND($C15=3,$D15=5)</f>
        <v>0</v>
      </c>
      <c r="AJ15" s="20" t="str">
        <f t="shared" ref="AJ15:AJ23" si="71">+IF(AI15," R"&amp;$A15,"")</f>
        <v/>
      </c>
      <c r="AK15" s="20" t="b">
        <f t="shared" ref="AK15:AK23" si="72">+AND($C15=4,$D15=1)</f>
        <v>0</v>
      </c>
      <c r="AL15" s="20" t="str">
        <f t="shared" ref="AL15:AL23" si="73">+IF(AK15," R"&amp;$A15,"")</f>
        <v/>
      </c>
      <c r="AM15" s="20" t="b">
        <f t="shared" ref="AM15:AM23" si="74">+AND($C15=4,$D15=2)</f>
        <v>0</v>
      </c>
      <c r="AN15" s="20" t="str">
        <f t="shared" ref="AN15:AN23" si="75">+IF(AM15," R"&amp;$A15,"")</f>
        <v/>
      </c>
      <c r="AO15" s="20" t="b">
        <f t="shared" ref="AO15:AO23" si="76">+AND($C15=4,$D15=3)</f>
        <v>0</v>
      </c>
      <c r="AP15" s="20" t="str">
        <f t="shared" ref="AP15:AP23" si="77">+IF(AO15," R"&amp;$A15,"")</f>
        <v/>
      </c>
      <c r="AQ15" s="20" t="b">
        <f t="shared" ref="AQ15:AQ23" si="78">+AND($C15=4,$D15=4)</f>
        <v>1</v>
      </c>
      <c r="AR15" s="20" t="str">
        <f t="shared" ref="AR15:AR23" si="79">+IF(AQ15," R"&amp;$A15,"")</f>
        <v xml:space="preserve"> R13</v>
      </c>
      <c r="AS15" s="20" t="b">
        <f t="shared" ref="AS15:AS23" si="80">+AND($C15=4,$D15=5)</f>
        <v>0</v>
      </c>
      <c r="AT15" s="20" t="str">
        <f t="shared" ref="AT15:AT23" si="81">+IF(AS15," R"&amp;$A15,"")</f>
        <v/>
      </c>
      <c r="AU15" s="20" t="b">
        <f t="shared" ref="AU15:AU23" si="82">+AND($C15=5,$D15=1)</f>
        <v>0</v>
      </c>
      <c r="AV15" s="20" t="str">
        <f t="shared" ref="AV15:AV23" si="83">+IF(AU15," R"&amp;$A15,"")</f>
        <v/>
      </c>
      <c r="AW15" s="20" t="b">
        <f t="shared" ref="AW15:AW23" si="84">+AND($C15=5,$D15=2)</f>
        <v>0</v>
      </c>
      <c r="AX15" s="20" t="str">
        <f t="shared" ref="AX15:AX23" si="85">+IF(AW15," R"&amp;$A15,"")</f>
        <v/>
      </c>
      <c r="AY15" s="20" t="b">
        <f t="shared" ref="AY15:AY23" si="86">+AND($C15=5,$D15=3)</f>
        <v>0</v>
      </c>
      <c r="AZ15" s="20" t="str">
        <f t="shared" ref="AZ15:AZ23" si="87">+IF(AY15," R"&amp;$A15,"")</f>
        <v/>
      </c>
      <c r="BA15" s="20" t="b">
        <f t="shared" ref="BA15:BA23" si="88">+AND($C15=5,$D15=4)</f>
        <v>0</v>
      </c>
      <c r="BB15" s="20" t="str">
        <f t="shared" ref="BB15:BB23" si="89">+IF(BA15," R"&amp;$A15,"")</f>
        <v/>
      </c>
      <c r="BC15" s="20" t="b">
        <f t="shared" si="41"/>
        <v>0</v>
      </c>
      <c r="BD15" s="20" t="str">
        <f t="shared" ref="BD15:BD23" si="90">+IF(BC15," R"&amp;$A15,"")</f>
        <v/>
      </c>
    </row>
    <row r="16" spans="1:56" s="20" customFormat="1" ht="30" x14ac:dyDescent="0.25">
      <c r="A16" s="63">
        <f>'RIESGO INHERENTE'!A25</f>
        <v>14</v>
      </c>
      <c r="B16" s="64" t="str">
        <f>+'RIESGO INHERENTE'!B25</f>
        <v xml:space="preserve">Utilización de figuras societarias y testaferros para el lavado de activos por parte de una organización delictiva dedicada al tráfico de drogas </v>
      </c>
      <c r="C16" s="63">
        <f>'RIESGO INHERENTE'!O25</f>
        <v>5</v>
      </c>
      <c r="D16" s="63">
        <f>'RIESGO INHERENTE'!P25</f>
        <v>5</v>
      </c>
      <c r="E16" s="63">
        <f t="shared" si="51"/>
        <v>1</v>
      </c>
      <c r="F16" s="63">
        <f t="shared" si="52"/>
        <v>1</v>
      </c>
      <c r="I16" s="20" t="b">
        <f t="shared" si="53"/>
        <v>0</v>
      </c>
      <c r="J16" s="20" t="str">
        <f t="shared" si="54"/>
        <v/>
      </c>
      <c r="K16" s="20" t="b">
        <f t="shared" si="4"/>
        <v>0</v>
      </c>
      <c r="L16" s="20" t="str">
        <f t="shared" si="55"/>
        <v/>
      </c>
      <c r="M16" s="20" t="b">
        <f t="shared" si="6"/>
        <v>0</v>
      </c>
      <c r="N16" s="20" t="str">
        <f t="shared" si="56"/>
        <v/>
      </c>
      <c r="O16" s="20" t="b">
        <f t="shared" si="8"/>
        <v>0</v>
      </c>
      <c r="P16" s="20" t="str">
        <f t="shared" si="57"/>
        <v/>
      </c>
      <c r="Q16" s="20" t="b">
        <f t="shared" si="10"/>
        <v>0</v>
      </c>
      <c r="R16" s="20" t="str">
        <f t="shared" si="58"/>
        <v/>
      </c>
      <c r="S16" s="20" t="b">
        <f t="shared" si="47"/>
        <v>0</v>
      </c>
      <c r="T16" s="20" t="str">
        <f t="shared" si="59"/>
        <v/>
      </c>
      <c r="U16" s="20" t="b">
        <f t="shared" si="13"/>
        <v>0</v>
      </c>
      <c r="V16" s="20" t="str">
        <f t="shared" si="60"/>
        <v/>
      </c>
      <c r="W16" s="20" t="b">
        <f t="shared" si="15"/>
        <v>0</v>
      </c>
      <c r="X16" s="20" t="str">
        <f t="shared" si="61"/>
        <v/>
      </c>
      <c r="Y16" s="20" t="b">
        <f t="shared" si="17"/>
        <v>0</v>
      </c>
      <c r="Z16" s="20" t="str">
        <f t="shared" si="62"/>
        <v/>
      </c>
      <c r="AA16" s="20" t="b">
        <f t="shared" si="63"/>
        <v>0</v>
      </c>
      <c r="AB16" s="20" t="str">
        <f t="shared" si="64"/>
        <v/>
      </c>
      <c r="AC16" s="20" t="b">
        <f t="shared" si="65"/>
        <v>0</v>
      </c>
      <c r="AD16" s="20" t="str">
        <f t="shared" si="66"/>
        <v/>
      </c>
      <c r="AE16" s="20" t="b">
        <f t="shared" si="67"/>
        <v>0</v>
      </c>
      <c r="AF16" s="20" t="str">
        <f t="shared" si="68"/>
        <v/>
      </c>
      <c r="AG16" s="20" t="b">
        <f t="shared" si="25"/>
        <v>0</v>
      </c>
      <c r="AH16" s="20" t="str">
        <f t="shared" si="69"/>
        <v/>
      </c>
      <c r="AI16" s="20" t="b">
        <f t="shared" si="70"/>
        <v>0</v>
      </c>
      <c r="AJ16" s="20" t="str">
        <f t="shared" si="71"/>
        <v/>
      </c>
      <c r="AK16" s="20" t="b">
        <f t="shared" si="72"/>
        <v>0</v>
      </c>
      <c r="AL16" s="20" t="str">
        <f t="shared" si="73"/>
        <v/>
      </c>
      <c r="AM16" s="20" t="b">
        <f t="shared" si="74"/>
        <v>0</v>
      </c>
      <c r="AN16" s="20" t="str">
        <f t="shared" si="75"/>
        <v/>
      </c>
      <c r="AO16" s="20" t="b">
        <f t="shared" si="76"/>
        <v>0</v>
      </c>
      <c r="AP16" s="20" t="str">
        <f t="shared" si="77"/>
        <v/>
      </c>
      <c r="AQ16" s="20" t="b">
        <f t="shared" si="78"/>
        <v>0</v>
      </c>
      <c r="AR16" s="20" t="str">
        <f t="shared" si="79"/>
        <v/>
      </c>
      <c r="AS16" s="20" t="b">
        <f t="shared" si="80"/>
        <v>0</v>
      </c>
      <c r="AT16" s="20" t="str">
        <f t="shared" si="81"/>
        <v/>
      </c>
      <c r="AU16" s="20" t="b">
        <f t="shared" si="82"/>
        <v>0</v>
      </c>
      <c r="AV16" s="20" t="str">
        <f t="shared" si="83"/>
        <v/>
      </c>
      <c r="AW16" s="20" t="b">
        <f t="shared" si="84"/>
        <v>0</v>
      </c>
      <c r="AX16" s="20" t="str">
        <f t="shared" si="85"/>
        <v/>
      </c>
      <c r="AY16" s="20" t="b">
        <f t="shared" si="86"/>
        <v>0</v>
      </c>
      <c r="AZ16" s="20" t="str">
        <f t="shared" si="87"/>
        <v/>
      </c>
      <c r="BA16" s="20" t="b">
        <f t="shared" si="88"/>
        <v>0</v>
      </c>
      <c r="BB16" s="20" t="str">
        <f t="shared" si="89"/>
        <v/>
      </c>
      <c r="BC16" s="20" t="b">
        <f t="shared" si="41"/>
        <v>1</v>
      </c>
      <c r="BD16" s="20" t="str">
        <f t="shared" si="90"/>
        <v xml:space="preserve"> R14</v>
      </c>
    </row>
    <row r="17" spans="1:56" s="20" customFormat="1" ht="30" x14ac:dyDescent="0.25">
      <c r="A17" s="63">
        <f>'RIESGO INHERENTE'!A26</f>
        <v>15</v>
      </c>
      <c r="B17" s="64" t="str">
        <f>+'RIESGO INHERENTE'!B26</f>
        <v>Lavado de activos a través del traslado transfronterizo de dinero  (recopilación de tipologías regionales de gafilat: 2009 - 2016)</v>
      </c>
      <c r="C17" s="63">
        <f>'RIESGO INHERENTE'!O26</f>
        <v>5</v>
      </c>
      <c r="D17" s="63">
        <f>'RIESGO INHERENTE'!P26</f>
        <v>4</v>
      </c>
      <c r="E17" s="63">
        <f t="shared" si="51"/>
        <v>1</v>
      </c>
      <c r="F17" s="63">
        <f t="shared" si="52"/>
        <v>1</v>
      </c>
      <c r="I17" s="20" t="b">
        <f t="shared" si="53"/>
        <v>0</v>
      </c>
      <c r="J17" s="20" t="str">
        <f t="shared" si="54"/>
        <v/>
      </c>
      <c r="K17" s="20" t="b">
        <f t="shared" si="4"/>
        <v>0</v>
      </c>
      <c r="L17" s="20" t="str">
        <f t="shared" si="55"/>
        <v/>
      </c>
      <c r="M17" s="20" t="b">
        <f t="shared" si="6"/>
        <v>0</v>
      </c>
      <c r="N17" s="20" t="str">
        <f t="shared" si="56"/>
        <v/>
      </c>
      <c r="O17" s="20" t="b">
        <f t="shared" si="8"/>
        <v>0</v>
      </c>
      <c r="P17" s="20" t="str">
        <f t="shared" si="57"/>
        <v/>
      </c>
      <c r="Q17" s="20" t="b">
        <f t="shared" si="10"/>
        <v>0</v>
      </c>
      <c r="R17" s="20" t="str">
        <f t="shared" si="58"/>
        <v/>
      </c>
      <c r="S17" s="20" t="b">
        <f t="shared" si="47"/>
        <v>0</v>
      </c>
      <c r="T17" s="20" t="str">
        <f t="shared" si="59"/>
        <v/>
      </c>
      <c r="U17" s="20" t="b">
        <f t="shared" si="13"/>
        <v>0</v>
      </c>
      <c r="V17" s="20" t="str">
        <f t="shared" si="60"/>
        <v/>
      </c>
      <c r="W17" s="20" t="b">
        <f t="shared" si="15"/>
        <v>0</v>
      </c>
      <c r="X17" s="20" t="str">
        <f t="shared" si="61"/>
        <v/>
      </c>
      <c r="Y17" s="20" t="b">
        <f t="shared" si="17"/>
        <v>0</v>
      </c>
      <c r="Z17" s="20" t="str">
        <f t="shared" si="62"/>
        <v/>
      </c>
      <c r="AA17" s="20" t="b">
        <f t="shared" si="63"/>
        <v>0</v>
      </c>
      <c r="AB17" s="20" t="str">
        <f t="shared" si="64"/>
        <v/>
      </c>
      <c r="AC17" s="20" t="b">
        <f t="shared" si="65"/>
        <v>0</v>
      </c>
      <c r="AD17" s="20" t="str">
        <f t="shared" si="66"/>
        <v/>
      </c>
      <c r="AE17" s="20" t="b">
        <f t="shared" si="67"/>
        <v>0</v>
      </c>
      <c r="AF17" s="20" t="str">
        <f t="shared" si="68"/>
        <v/>
      </c>
      <c r="AG17" s="20" t="b">
        <f t="shared" si="25"/>
        <v>0</v>
      </c>
      <c r="AH17" s="20" t="str">
        <f t="shared" si="69"/>
        <v/>
      </c>
      <c r="AI17" s="20" t="b">
        <f t="shared" si="70"/>
        <v>0</v>
      </c>
      <c r="AJ17" s="20" t="str">
        <f t="shared" si="71"/>
        <v/>
      </c>
      <c r="AK17" s="20" t="b">
        <f t="shared" si="72"/>
        <v>0</v>
      </c>
      <c r="AL17" s="20" t="str">
        <f t="shared" si="73"/>
        <v/>
      </c>
      <c r="AM17" s="20" t="b">
        <f t="shared" si="74"/>
        <v>0</v>
      </c>
      <c r="AN17" s="20" t="str">
        <f t="shared" si="75"/>
        <v/>
      </c>
      <c r="AO17" s="20" t="b">
        <f t="shared" si="76"/>
        <v>0</v>
      </c>
      <c r="AP17" s="20" t="str">
        <f t="shared" si="77"/>
        <v/>
      </c>
      <c r="AQ17" s="20" t="b">
        <f t="shared" si="78"/>
        <v>0</v>
      </c>
      <c r="AR17" s="20" t="str">
        <f t="shared" si="79"/>
        <v/>
      </c>
      <c r="AS17" s="20" t="b">
        <f t="shared" si="80"/>
        <v>0</v>
      </c>
      <c r="AT17" s="20" t="str">
        <f t="shared" si="81"/>
        <v/>
      </c>
      <c r="AU17" s="20" t="b">
        <f t="shared" si="82"/>
        <v>0</v>
      </c>
      <c r="AV17" s="20" t="str">
        <f t="shared" si="83"/>
        <v/>
      </c>
      <c r="AW17" s="20" t="b">
        <f t="shared" si="84"/>
        <v>0</v>
      </c>
      <c r="AX17" s="20" t="str">
        <f t="shared" si="85"/>
        <v/>
      </c>
      <c r="AY17" s="20" t="b">
        <f t="shared" si="86"/>
        <v>0</v>
      </c>
      <c r="AZ17" s="20" t="str">
        <f t="shared" si="87"/>
        <v/>
      </c>
      <c r="BA17" s="20" t="b">
        <f t="shared" si="88"/>
        <v>1</v>
      </c>
      <c r="BB17" s="20" t="str">
        <f t="shared" si="89"/>
        <v xml:space="preserve"> R15</v>
      </c>
      <c r="BC17" s="20" t="b">
        <f t="shared" si="41"/>
        <v>0</v>
      </c>
      <c r="BD17" s="20" t="str">
        <f t="shared" si="90"/>
        <v/>
      </c>
    </row>
    <row r="18" spans="1:56" s="20" customFormat="1" ht="30" x14ac:dyDescent="0.25">
      <c r="A18" s="63">
        <f>'RIESGO INHERENTE'!A27</f>
        <v>16</v>
      </c>
      <c r="B18" s="64" t="str">
        <f>+'RIESGO INHERENTE'!B27</f>
        <v>Realizar transacciones directa o indirectamente a países que se encuentren con algún tipo de sanción o bloqueo por autoridades internacionales.</v>
      </c>
      <c r="C18" s="63">
        <f>'RIESGO INHERENTE'!O27</f>
        <v>5</v>
      </c>
      <c r="D18" s="63">
        <f>'RIESGO INHERENTE'!P27</f>
        <v>5</v>
      </c>
      <c r="E18" s="63">
        <f t="shared" si="51"/>
        <v>1</v>
      </c>
      <c r="F18" s="63">
        <f t="shared" si="52"/>
        <v>1</v>
      </c>
      <c r="I18" s="20" t="b">
        <f t="shared" si="53"/>
        <v>0</v>
      </c>
      <c r="J18" s="20" t="str">
        <f t="shared" si="54"/>
        <v/>
      </c>
      <c r="K18" s="20" t="b">
        <f t="shared" si="4"/>
        <v>0</v>
      </c>
      <c r="L18" s="20" t="str">
        <f t="shared" si="55"/>
        <v/>
      </c>
      <c r="M18" s="20" t="b">
        <f t="shared" si="6"/>
        <v>0</v>
      </c>
      <c r="N18" s="20" t="str">
        <f t="shared" si="56"/>
        <v/>
      </c>
      <c r="O18" s="20" t="b">
        <f t="shared" si="8"/>
        <v>0</v>
      </c>
      <c r="P18" s="20" t="str">
        <f t="shared" si="57"/>
        <v/>
      </c>
      <c r="Q18" s="20" t="b">
        <f t="shared" si="10"/>
        <v>0</v>
      </c>
      <c r="R18" s="20" t="str">
        <f t="shared" si="58"/>
        <v/>
      </c>
      <c r="S18" s="20" t="b">
        <f t="shared" si="47"/>
        <v>0</v>
      </c>
      <c r="T18" s="20" t="str">
        <f t="shared" si="59"/>
        <v/>
      </c>
      <c r="U18" s="20" t="b">
        <f t="shared" si="13"/>
        <v>0</v>
      </c>
      <c r="V18" s="20" t="str">
        <f t="shared" si="60"/>
        <v/>
      </c>
      <c r="W18" s="20" t="b">
        <f t="shared" si="15"/>
        <v>0</v>
      </c>
      <c r="X18" s="20" t="str">
        <f t="shared" si="61"/>
        <v/>
      </c>
      <c r="Y18" s="20" t="b">
        <f t="shared" si="17"/>
        <v>0</v>
      </c>
      <c r="Z18" s="20" t="str">
        <f t="shared" si="62"/>
        <v/>
      </c>
      <c r="AA18" s="20" t="b">
        <f t="shared" si="63"/>
        <v>0</v>
      </c>
      <c r="AB18" s="20" t="str">
        <f t="shared" si="64"/>
        <v/>
      </c>
      <c r="AC18" s="20" t="b">
        <f t="shared" si="65"/>
        <v>0</v>
      </c>
      <c r="AD18" s="20" t="str">
        <f t="shared" si="66"/>
        <v/>
      </c>
      <c r="AE18" s="20" t="b">
        <f t="shared" si="67"/>
        <v>0</v>
      </c>
      <c r="AF18" s="20" t="str">
        <f t="shared" si="68"/>
        <v/>
      </c>
      <c r="AG18" s="20" t="b">
        <f t="shared" si="25"/>
        <v>0</v>
      </c>
      <c r="AH18" s="20" t="str">
        <f t="shared" si="69"/>
        <v/>
      </c>
      <c r="AI18" s="20" t="b">
        <f t="shared" si="70"/>
        <v>0</v>
      </c>
      <c r="AJ18" s="20" t="str">
        <f t="shared" si="71"/>
        <v/>
      </c>
      <c r="AK18" s="20" t="b">
        <f t="shared" si="72"/>
        <v>0</v>
      </c>
      <c r="AL18" s="20" t="str">
        <f t="shared" si="73"/>
        <v/>
      </c>
      <c r="AM18" s="20" t="b">
        <f t="shared" si="74"/>
        <v>0</v>
      </c>
      <c r="AN18" s="20" t="str">
        <f t="shared" si="75"/>
        <v/>
      </c>
      <c r="AO18" s="20" t="b">
        <f t="shared" si="76"/>
        <v>0</v>
      </c>
      <c r="AP18" s="20" t="str">
        <f t="shared" si="77"/>
        <v/>
      </c>
      <c r="AQ18" s="20" t="b">
        <f t="shared" si="78"/>
        <v>0</v>
      </c>
      <c r="AR18" s="20" t="str">
        <f t="shared" si="79"/>
        <v/>
      </c>
      <c r="AS18" s="20" t="b">
        <f t="shared" si="80"/>
        <v>0</v>
      </c>
      <c r="AT18" s="20" t="str">
        <f t="shared" si="81"/>
        <v/>
      </c>
      <c r="AU18" s="20" t="b">
        <f t="shared" si="82"/>
        <v>0</v>
      </c>
      <c r="AV18" s="20" t="str">
        <f t="shared" si="83"/>
        <v/>
      </c>
      <c r="AW18" s="20" t="b">
        <f t="shared" si="84"/>
        <v>0</v>
      </c>
      <c r="AX18" s="20" t="str">
        <f t="shared" si="85"/>
        <v/>
      </c>
      <c r="AY18" s="20" t="b">
        <f t="shared" si="86"/>
        <v>0</v>
      </c>
      <c r="AZ18" s="20" t="str">
        <f t="shared" si="87"/>
        <v/>
      </c>
      <c r="BA18" s="20" t="b">
        <f t="shared" si="88"/>
        <v>0</v>
      </c>
      <c r="BB18" s="20" t="str">
        <f t="shared" si="89"/>
        <v/>
      </c>
      <c r="BC18" s="20" t="b">
        <f t="shared" si="41"/>
        <v>1</v>
      </c>
      <c r="BD18" s="20" t="str">
        <f t="shared" si="90"/>
        <v xml:space="preserve"> R16</v>
      </c>
    </row>
    <row r="19" spans="1:56" s="20" customFormat="1" x14ac:dyDescent="0.25">
      <c r="A19" s="63">
        <f>'RIESGO INHERENTE'!A28</f>
        <v>17</v>
      </c>
      <c r="B19" s="64" t="str">
        <f>+'RIESGO INHERENTE'!B28</f>
        <v>Se vinculen clientes ubicados en jurisdicciones consideradas como de Alto Riesgo</v>
      </c>
      <c r="C19" s="63">
        <f>'RIESGO INHERENTE'!O28</f>
        <v>5</v>
      </c>
      <c r="D19" s="63">
        <f>'RIESGO INHERENTE'!P28</f>
        <v>4</v>
      </c>
      <c r="E19" s="63">
        <f t="shared" si="51"/>
        <v>1</v>
      </c>
      <c r="F19" s="63">
        <f t="shared" si="52"/>
        <v>1</v>
      </c>
      <c r="I19" s="20" t="b">
        <f t="shared" si="53"/>
        <v>0</v>
      </c>
      <c r="J19" s="20" t="str">
        <f t="shared" si="54"/>
        <v/>
      </c>
      <c r="K19" s="20" t="b">
        <f t="shared" si="4"/>
        <v>0</v>
      </c>
      <c r="L19" s="20" t="str">
        <f t="shared" si="55"/>
        <v/>
      </c>
      <c r="M19" s="20" t="b">
        <f t="shared" si="6"/>
        <v>0</v>
      </c>
      <c r="N19" s="20" t="str">
        <f t="shared" si="56"/>
        <v/>
      </c>
      <c r="O19" s="20" t="b">
        <f t="shared" si="8"/>
        <v>0</v>
      </c>
      <c r="P19" s="20" t="str">
        <f t="shared" si="57"/>
        <v/>
      </c>
      <c r="Q19" s="20" t="b">
        <f t="shared" si="10"/>
        <v>0</v>
      </c>
      <c r="R19" s="20" t="str">
        <f t="shared" si="58"/>
        <v/>
      </c>
      <c r="S19" s="20" t="b">
        <f t="shared" si="47"/>
        <v>0</v>
      </c>
      <c r="T19" s="20" t="str">
        <f t="shared" si="59"/>
        <v/>
      </c>
      <c r="U19" s="20" t="b">
        <f t="shared" si="13"/>
        <v>0</v>
      </c>
      <c r="V19" s="20" t="str">
        <f t="shared" si="60"/>
        <v/>
      </c>
      <c r="W19" s="20" t="b">
        <f t="shared" si="15"/>
        <v>0</v>
      </c>
      <c r="X19" s="20" t="str">
        <f t="shared" si="61"/>
        <v/>
      </c>
      <c r="Y19" s="20" t="b">
        <f t="shared" si="17"/>
        <v>0</v>
      </c>
      <c r="Z19" s="20" t="str">
        <f t="shared" si="62"/>
        <v/>
      </c>
      <c r="AA19" s="20" t="b">
        <f t="shared" si="63"/>
        <v>0</v>
      </c>
      <c r="AB19" s="20" t="str">
        <f t="shared" si="64"/>
        <v/>
      </c>
      <c r="AC19" s="20" t="b">
        <f t="shared" si="65"/>
        <v>0</v>
      </c>
      <c r="AD19" s="20" t="str">
        <f t="shared" si="66"/>
        <v/>
      </c>
      <c r="AE19" s="20" t="b">
        <f t="shared" si="67"/>
        <v>0</v>
      </c>
      <c r="AF19" s="20" t="str">
        <f t="shared" si="68"/>
        <v/>
      </c>
      <c r="AG19" s="20" t="b">
        <f t="shared" si="25"/>
        <v>0</v>
      </c>
      <c r="AH19" s="20" t="str">
        <f t="shared" si="69"/>
        <v/>
      </c>
      <c r="AI19" s="20" t="b">
        <f t="shared" si="70"/>
        <v>0</v>
      </c>
      <c r="AJ19" s="20" t="str">
        <f t="shared" si="71"/>
        <v/>
      </c>
      <c r="AK19" s="20" t="b">
        <f t="shared" si="72"/>
        <v>0</v>
      </c>
      <c r="AL19" s="20" t="str">
        <f t="shared" si="73"/>
        <v/>
      </c>
      <c r="AM19" s="20" t="b">
        <f t="shared" si="74"/>
        <v>0</v>
      </c>
      <c r="AN19" s="20" t="str">
        <f t="shared" si="75"/>
        <v/>
      </c>
      <c r="AO19" s="20" t="b">
        <f t="shared" si="76"/>
        <v>0</v>
      </c>
      <c r="AP19" s="20" t="str">
        <f t="shared" si="77"/>
        <v/>
      </c>
      <c r="AQ19" s="20" t="b">
        <f t="shared" si="78"/>
        <v>0</v>
      </c>
      <c r="AR19" s="20" t="str">
        <f t="shared" si="79"/>
        <v/>
      </c>
      <c r="AS19" s="20" t="b">
        <f t="shared" si="80"/>
        <v>0</v>
      </c>
      <c r="AT19" s="20" t="str">
        <f t="shared" si="81"/>
        <v/>
      </c>
      <c r="AU19" s="20" t="b">
        <f t="shared" si="82"/>
        <v>0</v>
      </c>
      <c r="AV19" s="20" t="str">
        <f t="shared" si="83"/>
        <v/>
      </c>
      <c r="AW19" s="20" t="b">
        <f t="shared" si="84"/>
        <v>0</v>
      </c>
      <c r="AX19" s="20" t="str">
        <f t="shared" si="85"/>
        <v/>
      </c>
      <c r="AY19" s="20" t="b">
        <f t="shared" si="86"/>
        <v>0</v>
      </c>
      <c r="AZ19" s="20" t="str">
        <f t="shared" si="87"/>
        <v/>
      </c>
      <c r="BA19" s="20" t="b">
        <f t="shared" si="88"/>
        <v>1</v>
      </c>
      <c r="BB19" s="20" t="str">
        <f t="shared" si="89"/>
        <v xml:space="preserve"> R17</v>
      </c>
      <c r="BC19" s="20" t="b">
        <f t="shared" si="41"/>
        <v>0</v>
      </c>
      <c r="BD19" s="20" t="str">
        <f t="shared" si="90"/>
        <v/>
      </c>
    </row>
    <row r="20" spans="1:56" s="20" customFormat="1" ht="30" x14ac:dyDescent="0.25">
      <c r="A20" s="63">
        <f>'RIESGO INHERENTE'!A29</f>
        <v>18</v>
      </c>
      <c r="B20" s="64" t="str">
        <f>+'RIESGO INHERENTE'!B29</f>
        <v>Utilización de empresas de fachada para apoyar las actividades de lavado de activos – paraísos fiscales. (recopilación de tipologías regionales de gafilat: 2009 - 2016)</v>
      </c>
      <c r="C20" s="63">
        <f>'RIESGO INHERENTE'!O29</f>
        <v>5</v>
      </c>
      <c r="D20" s="63">
        <f>'RIESGO INHERENTE'!P29</f>
        <v>5</v>
      </c>
      <c r="E20" s="63">
        <f t="shared" si="51"/>
        <v>1</v>
      </c>
      <c r="F20" s="63">
        <f t="shared" si="52"/>
        <v>1</v>
      </c>
      <c r="I20" s="20" t="b">
        <f t="shared" si="53"/>
        <v>0</v>
      </c>
      <c r="J20" s="20" t="str">
        <f t="shared" si="54"/>
        <v/>
      </c>
      <c r="K20" s="20" t="b">
        <f t="shared" si="4"/>
        <v>0</v>
      </c>
      <c r="L20" s="20" t="str">
        <f t="shared" si="55"/>
        <v/>
      </c>
      <c r="M20" s="20" t="b">
        <f t="shared" si="6"/>
        <v>0</v>
      </c>
      <c r="N20" s="20" t="str">
        <f t="shared" si="56"/>
        <v/>
      </c>
      <c r="O20" s="20" t="b">
        <f t="shared" si="8"/>
        <v>0</v>
      </c>
      <c r="P20" s="20" t="str">
        <f t="shared" si="57"/>
        <v/>
      </c>
      <c r="Q20" s="20" t="b">
        <f t="shared" si="10"/>
        <v>0</v>
      </c>
      <c r="R20" s="20" t="str">
        <f t="shared" si="58"/>
        <v/>
      </c>
      <c r="S20" s="20" t="b">
        <f t="shared" si="47"/>
        <v>0</v>
      </c>
      <c r="T20" s="20" t="str">
        <f t="shared" si="59"/>
        <v/>
      </c>
      <c r="U20" s="20" t="b">
        <f t="shared" si="13"/>
        <v>0</v>
      </c>
      <c r="V20" s="20" t="str">
        <f t="shared" si="60"/>
        <v/>
      </c>
      <c r="W20" s="20" t="b">
        <f t="shared" si="15"/>
        <v>0</v>
      </c>
      <c r="X20" s="20" t="str">
        <f t="shared" si="61"/>
        <v/>
      </c>
      <c r="Y20" s="20" t="b">
        <f t="shared" si="17"/>
        <v>0</v>
      </c>
      <c r="Z20" s="20" t="str">
        <f t="shared" si="62"/>
        <v/>
      </c>
      <c r="AA20" s="20" t="b">
        <f t="shared" si="63"/>
        <v>0</v>
      </c>
      <c r="AB20" s="20" t="str">
        <f t="shared" si="64"/>
        <v/>
      </c>
      <c r="AC20" s="20" t="b">
        <f t="shared" si="65"/>
        <v>0</v>
      </c>
      <c r="AD20" s="20" t="str">
        <f t="shared" si="66"/>
        <v/>
      </c>
      <c r="AE20" s="20" t="b">
        <f t="shared" si="67"/>
        <v>0</v>
      </c>
      <c r="AF20" s="20" t="str">
        <f t="shared" si="68"/>
        <v/>
      </c>
      <c r="AG20" s="20" t="b">
        <f t="shared" si="25"/>
        <v>0</v>
      </c>
      <c r="AH20" s="20" t="str">
        <f t="shared" si="69"/>
        <v/>
      </c>
      <c r="AI20" s="20" t="b">
        <f t="shared" si="70"/>
        <v>0</v>
      </c>
      <c r="AJ20" s="20" t="str">
        <f t="shared" si="71"/>
        <v/>
      </c>
      <c r="AK20" s="20" t="b">
        <f t="shared" si="72"/>
        <v>0</v>
      </c>
      <c r="AL20" s="20" t="str">
        <f t="shared" si="73"/>
        <v/>
      </c>
      <c r="AM20" s="20" t="b">
        <f t="shared" si="74"/>
        <v>0</v>
      </c>
      <c r="AN20" s="20" t="str">
        <f t="shared" si="75"/>
        <v/>
      </c>
      <c r="AO20" s="20" t="b">
        <f t="shared" si="76"/>
        <v>0</v>
      </c>
      <c r="AP20" s="20" t="str">
        <f t="shared" si="77"/>
        <v/>
      </c>
      <c r="AQ20" s="20" t="b">
        <f t="shared" si="78"/>
        <v>0</v>
      </c>
      <c r="AR20" s="20" t="str">
        <f t="shared" si="79"/>
        <v/>
      </c>
      <c r="AS20" s="20" t="b">
        <f t="shared" si="80"/>
        <v>0</v>
      </c>
      <c r="AT20" s="20" t="str">
        <f t="shared" si="81"/>
        <v/>
      </c>
      <c r="AU20" s="20" t="b">
        <f t="shared" si="82"/>
        <v>0</v>
      </c>
      <c r="AV20" s="20" t="str">
        <f t="shared" si="83"/>
        <v/>
      </c>
      <c r="AW20" s="20" t="b">
        <f t="shared" si="84"/>
        <v>0</v>
      </c>
      <c r="AX20" s="20" t="str">
        <f t="shared" si="85"/>
        <v/>
      </c>
      <c r="AY20" s="20" t="b">
        <f t="shared" si="86"/>
        <v>0</v>
      </c>
      <c r="AZ20" s="20" t="str">
        <f t="shared" si="87"/>
        <v/>
      </c>
      <c r="BA20" s="20" t="b">
        <f t="shared" si="88"/>
        <v>0</v>
      </c>
      <c r="BB20" s="20" t="str">
        <f t="shared" si="89"/>
        <v/>
      </c>
      <c r="BC20" s="20" t="b">
        <f t="shared" si="41"/>
        <v>1</v>
      </c>
      <c r="BD20" s="20" t="str">
        <f t="shared" si="90"/>
        <v xml:space="preserve"> R18</v>
      </c>
    </row>
    <row r="21" spans="1:56" s="20" customFormat="1" x14ac:dyDescent="0.25">
      <c r="A21" s="63">
        <f>'RIESGO INHERENTE'!A30</f>
        <v>19</v>
      </c>
      <c r="B21" s="64" t="str">
        <f>+'RIESGO INHERENTE'!B30</f>
        <v>Fiducia inmobiliaria recursos ilícitos del constructor (recopilación de tipologías regionales de gafilat: 2009 - 2016)</v>
      </c>
      <c r="C21" s="63">
        <f>'RIESGO INHERENTE'!O30</f>
        <v>5</v>
      </c>
      <c r="D21" s="63">
        <f>'RIESGO INHERENTE'!P30</f>
        <v>4</v>
      </c>
      <c r="E21" s="63">
        <f t="shared" si="51"/>
        <v>1</v>
      </c>
      <c r="F21" s="63">
        <f t="shared" si="52"/>
        <v>1</v>
      </c>
      <c r="I21" s="20" t="b">
        <f t="shared" si="53"/>
        <v>0</v>
      </c>
      <c r="J21" s="20" t="str">
        <f t="shared" si="54"/>
        <v/>
      </c>
      <c r="K21" s="20" t="b">
        <f t="shared" si="4"/>
        <v>0</v>
      </c>
      <c r="L21" s="20" t="str">
        <f t="shared" si="55"/>
        <v/>
      </c>
      <c r="M21" s="20" t="b">
        <f t="shared" si="6"/>
        <v>0</v>
      </c>
      <c r="N21" s="20" t="str">
        <f t="shared" si="56"/>
        <v/>
      </c>
      <c r="O21" s="20" t="b">
        <f t="shared" si="8"/>
        <v>0</v>
      </c>
      <c r="P21" s="20" t="str">
        <f t="shared" si="57"/>
        <v/>
      </c>
      <c r="Q21" s="20" t="b">
        <f t="shared" si="10"/>
        <v>0</v>
      </c>
      <c r="R21" s="20" t="str">
        <f t="shared" si="58"/>
        <v/>
      </c>
      <c r="S21" s="20" t="b">
        <f t="shared" si="47"/>
        <v>0</v>
      </c>
      <c r="T21" s="20" t="str">
        <f t="shared" si="59"/>
        <v/>
      </c>
      <c r="U21" s="20" t="b">
        <f t="shared" si="13"/>
        <v>0</v>
      </c>
      <c r="V21" s="20" t="str">
        <f t="shared" si="60"/>
        <v/>
      </c>
      <c r="W21" s="20" t="b">
        <f t="shared" si="15"/>
        <v>0</v>
      </c>
      <c r="X21" s="20" t="str">
        <f t="shared" si="61"/>
        <v/>
      </c>
      <c r="Y21" s="20" t="b">
        <f t="shared" si="17"/>
        <v>0</v>
      </c>
      <c r="Z21" s="20" t="str">
        <f t="shared" si="62"/>
        <v/>
      </c>
      <c r="AA21" s="20" t="b">
        <f t="shared" si="63"/>
        <v>0</v>
      </c>
      <c r="AB21" s="20" t="str">
        <f t="shared" si="64"/>
        <v/>
      </c>
      <c r="AC21" s="20" t="b">
        <f t="shared" si="65"/>
        <v>0</v>
      </c>
      <c r="AD21" s="20" t="str">
        <f t="shared" si="66"/>
        <v/>
      </c>
      <c r="AE21" s="20" t="b">
        <f t="shared" si="67"/>
        <v>0</v>
      </c>
      <c r="AF21" s="20" t="str">
        <f t="shared" si="68"/>
        <v/>
      </c>
      <c r="AG21" s="20" t="b">
        <f t="shared" si="25"/>
        <v>0</v>
      </c>
      <c r="AH21" s="20" t="str">
        <f t="shared" si="69"/>
        <v/>
      </c>
      <c r="AI21" s="20" t="b">
        <f t="shared" si="70"/>
        <v>0</v>
      </c>
      <c r="AJ21" s="20" t="str">
        <f t="shared" si="71"/>
        <v/>
      </c>
      <c r="AK21" s="20" t="b">
        <f t="shared" si="72"/>
        <v>0</v>
      </c>
      <c r="AL21" s="20" t="str">
        <f t="shared" si="73"/>
        <v/>
      </c>
      <c r="AM21" s="20" t="b">
        <f t="shared" si="74"/>
        <v>0</v>
      </c>
      <c r="AN21" s="20" t="str">
        <f t="shared" si="75"/>
        <v/>
      </c>
      <c r="AO21" s="20" t="b">
        <f t="shared" si="76"/>
        <v>0</v>
      </c>
      <c r="AP21" s="20" t="str">
        <f t="shared" si="77"/>
        <v/>
      </c>
      <c r="AQ21" s="20" t="b">
        <f t="shared" si="78"/>
        <v>0</v>
      </c>
      <c r="AR21" s="20" t="str">
        <f t="shared" si="79"/>
        <v/>
      </c>
      <c r="AS21" s="20" t="b">
        <f t="shared" si="80"/>
        <v>0</v>
      </c>
      <c r="AT21" s="20" t="str">
        <f t="shared" si="81"/>
        <v/>
      </c>
      <c r="AU21" s="20" t="b">
        <f t="shared" si="82"/>
        <v>0</v>
      </c>
      <c r="AV21" s="20" t="str">
        <f t="shared" si="83"/>
        <v/>
      </c>
      <c r="AW21" s="20" t="b">
        <f t="shared" si="84"/>
        <v>0</v>
      </c>
      <c r="AX21" s="20" t="str">
        <f t="shared" si="85"/>
        <v/>
      </c>
      <c r="AY21" s="20" t="b">
        <f t="shared" si="86"/>
        <v>0</v>
      </c>
      <c r="AZ21" s="20" t="str">
        <f t="shared" si="87"/>
        <v/>
      </c>
      <c r="BA21" s="20" t="b">
        <f t="shared" si="88"/>
        <v>1</v>
      </c>
      <c r="BB21" s="20" t="str">
        <f t="shared" si="89"/>
        <v xml:space="preserve"> R19</v>
      </c>
      <c r="BC21" s="20" t="b">
        <f t="shared" si="41"/>
        <v>0</v>
      </c>
      <c r="BD21" s="20" t="str">
        <f t="shared" si="90"/>
        <v/>
      </c>
    </row>
    <row r="22" spans="1:56" s="20" customFormat="1" x14ac:dyDescent="0.25">
      <c r="A22" s="63">
        <f>'RIESGO INHERENTE'!A31</f>
        <v>20</v>
      </c>
      <c r="B22" s="64" t="str">
        <f>+'RIESGO INHERENTE'!B31</f>
        <v>Invertir en activos que hayan sido adquiridos con dinero proveniente de actividades de LA/FT/FPADM.</v>
      </c>
      <c r="C22" s="63">
        <f>'RIESGO INHERENTE'!O31</f>
        <v>4</v>
      </c>
      <c r="D22" s="63">
        <f>'RIESGO INHERENTE'!P31</f>
        <v>4</v>
      </c>
      <c r="E22" s="63">
        <f t="shared" si="51"/>
        <v>1</v>
      </c>
      <c r="F22" s="63">
        <f t="shared" si="52"/>
        <v>1</v>
      </c>
      <c r="I22" s="20" t="b">
        <f t="shared" si="53"/>
        <v>0</v>
      </c>
      <c r="J22" s="20" t="str">
        <f t="shared" si="54"/>
        <v/>
      </c>
      <c r="K22" s="20" t="b">
        <f t="shared" si="4"/>
        <v>0</v>
      </c>
      <c r="L22" s="20" t="str">
        <f t="shared" si="55"/>
        <v/>
      </c>
      <c r="M22" s="20" t="b">
        <f t="shared" si="6"/>
        <v>0</v>
      </c>
      <c r="N22" s="20" t="str">
        <f t="shared" si="56"/>
        <v/>
      </c>
      <c r="O22" s="20" t="b">
        <f t="shared" si="8"/>
        <v>0</v>
      </c>
      <c r="P22" s="20" t="str">
        <f t="shared" si="57"/>
        <v/>
      </c>
      <c r="Q22" s="20" t="b">
        <f t="shared" si="10"/>
        <v>0</v>
      </c>
      <c r="R22" s="20" t="str">
        <f t="shared" si="58"/>
        <v/>
      </c>
      <c r="S22" s="20" t="b">
        <f t="shared" si="47"/>
        <v>0</v>
      </c>
      <c r="T22" s="20" t="str">
        <f t="shared" si="59"/>
        <v/>
      </c>
      <c r="U22" s="20" t="b">
        <f t="shared" si="13"/>
        <v>0</v>
      </c>
      <c r="V22" s="20" t="str">
        <f t="shared" si="60"/>
        <v/>
      </c>
      <c r="W22" s="20" t="b">
        <f t="shared" si="15"/>
        <v>0</v>
      </c>
      <c r="X22" s="20" t="str">
        <f t="shared" si="61"/>
        <v/>
      </c>
      <c r="Y22" s="20" t="b">
        <f t="shared" si="17"/>
        <v>0</v>
      </c>
      <c r="Z22" s="20" t="str">
        <f t="shared" si="62"/>
        <v/>
      </c>
      <c r="AA22" s="20" t="b">
        <f t="shared" si="63"/>
        <v>0</v>
      </c>
      <c r="AB22" s="20" t="str">
        <f t="shared" si="64"/>
        <v/>
      </c>
      <c r="AC22" s="20" t="b">
        <f t="shared" si="65"/>
        <v>0</v>
      </c>
      <c r="AD22" s="20" t="str">
        <f t="shared" si="66"/>
        <v/>
      </c>
      <c r="AE22" s="20" t="b">
        <f t="shared" si="67"/>
        <v>0</v>
      </c>
      <c r="AF22" s="20" t="str">
        <f t="shared" si="68"/>
        <v/>
      </c>
      <c r="AG22" s="20" t="b">
        <f t="shared" si="25"/>
        <v>0</v>
      </c>
      <c r="AH22" s="20" t="str">
        <f t="shared" si="69"/>
        <v/>
      </c>
      <c r="AI22" s="20" t="b">
        <f t="shared" si="70"/>
        <v>0</v>
      </c>
      <c r="AJ22" s="20" t="str">
        <f t="shared" si="71"/>
        <v/>
      </c>
      <c r="AK22" s="20" t="b">
        <f t="shared" si="72"/>
        <v>0</v>
      </c>
      <c r="AL22" s="20" t="str">
        <f t="shared" si="73"/>
        <v/>
      </c>
      <c r="AM22" s="20" t="b">
        <f t="shared" si="74"/>
        <v>0</v>
      </c>
      <c r="AN22" s="20" t="str">
        <f t="shared" si="75"/>
        <v/>
      </c>
      <c r="AO22" s="20" t="b">
        <f t="shared" si="76"/>
        <v>0</v>
      </c>
      <c r="AP22" s="20" t="str">
        <f t="shared" si="77"/>
        <v/>
      </c>
      <c r="AQ22" s="20" t="b">
        <f t="shared" si="78"/>
        <v>1</v>
      </c>
      <c r="AR22" s="20" t="str">
        <f t="shared" si="79"/>
        <v xml:space="preserve"> R20</v>
      </c>
      <c r="AS22" s="20" t="b">
        <f t="shared" si="80"/>
        <v>0</v>
      </c>
      <c r="AT22" s="20" t="str">
        <f t="shared" si="81"/>
        <v/>
      </c>
      <c r="AU22" s="20" t="b">
        <f t="shared" si="82"/>
        <v>0</v>
      </c>
      <c r="AV22" s="20" t="str">
        <f t="shared" si="83"/>
        <v/>
      </c>
      <c r="AW22" s="20" t="b">
        <f t="shared" si="84"/>
        <v>0</v>
      </c>
      <c r="AX22" s="20" t="str">
        <f t="shared" si="85"/>
        <v/>
      </c>
      <c r="AY22" s="20" t="b">
        <f t="shared" si="86"/>
        <v>0</v>
      </c>
      <c r="AZ22" s="20" t="str">
        <f t="shared" si="87"/>
        <v/>
      </c>
      <c r="BA22" s="20" t="b">
        <f t="shared" si="88"/>
        <v>0</v>
      </c>
      <c r="BB22" s="20" t="str">
        <f t="shared" si="89"/>
        <v/>
      </c>
      <c r="BC22" s="20" t="b">
        <f t="shared" si="41"/>
        <v>0</v>
      </c>
      <c r="BD22" s="20" t="str">
        <f t="shared" si="90"/>
        <v/>
      </c>
    </row>
    <row r="23" spans="1:56" ht="30" x14ac:dyDescent="0.25">
      <c r="A23" s="63">
        <f>'RIESGO INHERENTE'!A32</f>
        <v>21</v>
      </c>
      <c r="B23" s="64" t="str">
        <f>+'RIESGO INHERENTE'!B32</f>
        <v>Lavado de activos a través de negocios de fachada y el uso de testaferros (recopilación de tipologías regionales de gafilat: 2009 - 2016)</v>
      </c>
      <c r="C23" s="63">
        <f>'RIESGO INHERENTE'!O32</f>
        <v>5</v>
      </c>
      <c r="D23" s="63">
        <f>'RIESGO INHERENTE'!P32</f>
        <v>5</v>
      </c>
      <c r="E23" s="63">
        <f t="shared" si="51"/>
        <v>1</v>
      </c>
      <c r="F23" s="63">
        <f t="shared" si="52"/>
        <v>1</v>
      </c>
      <c r="I23" s="20" t="b">
        <f t="shared" si="53"/>
        <v>0</v>
      </c>
      <c r="J23" s="20" t="str">
        <f t="shared" si="54"/>
        <v/>
      </c>
      <c r="K23" s="20" t="b">
        <f t="shared" si="4"/>
        <v>0</v>
      </c>
      <c r="L23" s="20" t="str">
        <f t="shared" si="55"/>
        <v/>
      </c>
      <c r="M23" s="20" t="b">
        <f t="shared" si="6"/>
        <v>0</v>
      </c>
      <c r="N23" s="20" t="str">
        <f t="shared" si="56"/>
        <v/>
      </c>
      <c r="O23" s="20" t="b">
        <f t="shared" si="8"/>
        <v>0</v>
      </c>
      <c r="P23" s="20" t="str">
        <f t="shared" si="57"/>
        <v/>
      </c>
      <c r="Q23" s="20" t="b">
        <f t="shared" si="10"/>
        <v>0</v>
      </c>
      <c r="R23" s="20" t="str">
        <f t="shared" si="58"/>
        <v/>
      </c>
      <c r="S23" s="20" t="b">
        <f t="shared" si="47"/>
        <v>0</v>
      </c>
      <c r="T23" s="20" t="str">
        <f t="shared" si="59"/>
        <v/>
      </c>
      <c r="U23" s="20" t="b">
        <f t="shared" si="13"/>
        <v>0</v>
      </c>
      <c r="V23" s="20" t="str">
        <f t="shared" si="60"/>
        <v/>
      </c>
      <c r="W23" s="20" t="b">
        <f t="shared" si="15"/>
        <v>0</v>
      </c>
      <c r="X23" s="20" t="str">
        <f t="shared" si="61"/>
        <v/>
      </c>
      <c r="Y23" s="20" t="b">
        <f t="shared" si="17"/>
        <v>0</v>
      </c>
      <c r="Z23" s="20" t="str">
        <f t="shared" si="62"/>
        <v/>
      </c>
      <c r="AA23" s="20" t="b">
        <f t="shared" si="63"/>
        <v>0</v>
      </c>
      <c r="AB23" s="20" t="str">
        <f t="shared" si="64"/>
        <v/>
      </c>
      <c r="AC23" s="20" t="b">
        <f t="shared" si="65"/>
        <v>0</v>
      </c>
      <c r="AD23" s="20" t="str">
        <f t="shared" si="66"/>
        <v/>
      </c>
      <c r="AE23" s="20" t="b">
        <f t="shared" si="67"/>
        <v>0</v>
      </c>
      <c r="AF23" s="20" t="str">
        <f t="shared" si="68"/>
        <v/>
      </c>
      <c r="AG23" s="20" t="b">
        <f t="shared" si="25"/>
        <v>0</v>
      </c>
      <c r="AH23" s="20" t="str">
        <f t="shared" si="69"/>
        <v/>
      </c>
      <c r="AI23" s="20" t="b">
        <f t="shared" si="70"/>
        <v>0</v>
      </c>
      <c r="AJ23" s="20" t="str">
        <f t="shared" si="71"/>
        <v/>
      </c>
      <c r="AK23" s="20" t="b">
        <f t="shared" si="72"/>
        <v>0</v>
      </c>
      <c r="AL23" s="20" t="str">
        <f t="shared" si="73"/>
        <v/>
      </c>
      <c r="AM23" s="20" t="b">
        <f t="shared" si="74"/>
        <v>0</v>
      </c>
      <c r="AN23" s="20" t="str">
        <f t="shared" si="75"/>
        <v/>
      </c>
      <c r="AO23" s="20" t="b">
        <f t="shared" si="76"/>
        <v>0</v>
      </c>
      <c r="AP23" s="20" t="str">
        <f t="shared" si="77"/>
        <v/>
      </c>
      <c r="AQ23" s="20" t="b">
        <f t="shared" si="78"/>
        <v>0</v>
      </c>
      <c r="AR23" s="20" t="str">
        <f t="shared" si="79"/>
        <v/>
      </c>
      <c r="AS23" s="20" t="b">
        <f t="shared" si="80"/>
        <v>0</v>
      </c>
      <c r="AT23" s="20" t="str">
        <f t="shared" si="81"/>
        <v/>
      </c>
      <c r="AU23" s="20" t="b">
        <f t="shared" si="82"/>
        <v>0</v>
      </c>
      <c r="AV23" s="20" t="str">
        <f t="shared" si="83"/>
        <v/>
      </c>
      <c r="AW23" s="20" t="b">
        <f t="shared" si="84"/>
        <v>0</v>
      </c>
      <c r="AX23" s="20" t="str">
        <f t="shared" si="85"/>
        <v/>
      </c>
      <c r="AY23" s="20" t="b">
        <f t="shared" si="86"/>
        <v>0</v>
      </c>
      <c r="AZ23" s="20" t="str">
        <f t="shared" si="87"/>
        <v/>
      </c>
      <c r="BA23" s="20" t="b">
        <f t="shared" si="88"/>
        <v>0</v>
      </c>
      <c r="BB23" s="20" t="str">
        <f t="shared" si="89"/>
        <v/>
      </c>
      <c r="BC23" s="20" t="b">
        <f t="shared" si="41"/>
        <v>1</v>
      </c>
      <c r="BD23" s="20" t="str">
        <f t="shared" si="90"/>
        <v xml:space="preserve"> R21</v>
      </c>
    </row>
    <row r="24" spans="1:56" ht="15.75" thickBot="1" x14ac:dyDescent="0.3">
      <c r="F24" s="314" t="s">
        <v>46</v>
      </c>
      <c r="G24" s="314"/>
      <c r="H24" s="314"/>
      <c r="I24" s="314"/>
      <c r="J24" s="314"/>
      <c r="N24" s="314" t="s">
        <v>118</v>
      </c>
      <c r="O24" s="314"/>
      <c r="P24" s="314"/>
      <c r="Q24" s="314"/>
      <c r="R24" s="314"/>
    </row>
    <row r="25" spans="1:56" s="65" customFormat="1" ht="15.75" hidden="1" thickBot="1" x14ac:dyDescent="0.3">
      <c r="A25" s="21"/>
      <c r="B25" s="21"/>
      <c r="C25" s="21"/>
      <c r="D25" s="21"/>
    </row>
    <row r="26" spans="1:56" s="65" customFormat="1" ht="15.75" hidden="1" thickBot="1" x14ac:dyDescent="0.3">
      <c r="A26" s="21"/>
      <c r="B26" s="21"/>
      <c r="C26" s="21"/>
      <c r="D26" s="21"/>
    </row>
    <row r="27" spans="1:56" ht="84.75" customHeight="1" thickBot="1" x14ac:dyDescent="0.3">
      <c r="D27" s="315" t="s">
        <v>13</v>
      </c>
      <c r="E27" s="65">
        <v>5</v>
      </c>
      <c r="F27" s="66" t="str">
        <f>+AV3&amp;AV4&amp;AV5&amp;AV6&amp;AV7&amp;AV8&amp;AV9&amp;AV10&amp;AV11&amp;AV12&amp;AV13&amp;AV14&amp;AV15&amp;AV16&amp;AV17&amp;AV18&amp;AV19&amp;AV20&amp;AV21&amp;AV22&amp;AV23</f>
        <v/>
      </c>
      <c r="G27" s="67" t="str">
        <f>+AX3&amp;AX4&amp;AX5&amp;AX7&amp;AX6&amp;AX8&amp;AX9&amp;AX10&amp;AX11&amp;AX12&amp;AX13&amp;AX14&amp;AX15&amp;AX16&amp;AX17&amp;AX18&amp;AX19&amp;AX20&amp;AX21&amp;AX22&amp;AX23</f>
        <v/>
      </c>
      <c r="H27" s="68" t="str">
        <f>+AZ3&amp;AZ4&amp;AZ5&amp;AZ7&amp;AZ6&amp;AZ8&amp;AZ9&amp;AZ10&amp;AZ11&amp;AZ12&amp;AZ13&amp;AZ14&amp;AZ15&amp;AZ16&amp;AZ17&amp;AZ18&amp;AZ19&amp;AZ20&amp;AZ21&amp;AZ22&amp;AZ23</f>
        <v xml:space="preserve"> R2</v>
      </c>
      <c r="I27" s="69" t="str">
        <f>+BB3&amp;BB4&amp;BB5&amp;BB7&amp;BB6&amp;BB8&amp;BB9&amp;BB10&amp;BB11&amp;BB12&amp;BB13&amp;BB14&amp;BB15&amp;BB16&amp;BB17&amp;BB18&amp;BB19&amp;BB20&amp;BB21&amp;BB22&amp;BB23</f>
        <v xml:space="preserve"> R9 R10 R15 R17 R19</v>
      </c>
      <c r="J27" s="16" t="str">
        <f>+BD3&amp;BD4&amp;BD5&amp;BD7&amp;BD6&amp;BD8&amp;BD9&amp;BD10&amp;BD11&amp;BD12&amp;BD13&amp;BD14&amp;BD15&amp;BD16&amp;BD17&amp;BD18&amp;BD19&amp;BD20&amp;BD21&amp;BD22&amp;BD23</f>
        <v xml:space="preserve"> R1 R3 R12 R14 R16 R18 R21</v>
      </c>
      <c r="L27" s="315" t="s">
        <v>13</v>
      </c>
      <c r="M27" s="65">
        <v>5</v>
      </c>
      <c r="N27" s="15" t="str">
        <f>+AV35&amp;AV36&amp;AV37&amp;AV38&amp;AV39&amp;AV40&amp;AV41&amp;AV42&amp;AV43&amp;AV44&amp;AV45&amp;AV46&amp;AV47&amp;AV48&amp;AV49&amp;AV50&amp;AV51&amp;AV52&amp;AV53&amp;AV54&amp;AV55</f>
        <v/>
      </c>
      <c r="O27" s="11" t="str">
        <f>+AX35&amp;AX36&amp;AX37&amp;AX38&amp;AX39&amp;AX40&amp;AX41&amp;AX42&amp;AX43&amp;AX44&amp;AX45&amp;AX46&amp;AX47&amp;AX48&amp;AX49&amp;AX50&amp;AX51&amp;AX52&amp;AX53&amp;AX54&amp;AX55</f>
        <v/>
      </c>
      <c r="P27" s="78" t="str">
        <f>+AZ35&amp;AZ36&amp;AZ37&amp;AZ38&amp;AZ39&amp;AZ40&amp;AZ41&amp;AZ42&amp;AZ43&amp;AZ44&amp;AZ45&amp;AZ46&amp;AZ47&amp;AZ48&amp;AZ49&amp;AZ50&amp;AZ51&amp;AZ52&amp;AZ53&amp;AZ54&amp;AZ55</f>
        <v/>
      </c>
      <c r="Q27" s="16" t="str">
        <f>+BB35&amp;BB36&amp;BB37&amp;BB38&amp;BB39&amp;BB40&amp;BB41&amp;BB42&amp;BB43&amp;BB44&amp;BB45&amp;BB46&amp;BB47&amp;BB48&amp;BB49&amp;BB50&amp;BB51&amp;BB52&amp;BB53&amp;BB54&amp;BB55</f>
        <v/>
      </c>
      <c r="R27" s="16" t="str">
        <f>+BD35&amp;BD36&amp;BD37&amp;BD38&amp;BD39&amp;BD40&amp;BD41&amp;BD42&amp;BD43&amp;BD44&amp;BD45&amp;BD46&amp;BD47&amp;BD48&amp;BD49&amp;BD50&amp;BD51&amp;BD52&amp;BD53&amp;BD54&amp;BD55</f>
        <v/>
      </c>
    </row>
    <row r="28" spans="1:56" ht="84.75" customHeight="1" thickBot="1" x14ac:dyDescent="0.3">
      <c r="D28" s="315"/>
      <c r="E28" s="65">
        <v>4</v>
      </c>
      <c r="F28" s="70" t="str">
        <f>+AL3&amp;AL4&amp;AL5&amp;AL6&amp;AL7&amp;AL8&amp;AL9&amp;AL10&amp;AL11&amp;AL12&amp;AL13&amp;AL14&amp;AL15&amp;AL16&amp;AL17&amp;AL18&amp;AL19&amp;AL20&amp;AL21&amp;AL22&amp;AL23</f>
        <v/>
      </c>
      <c r="G28" s="67" t="str">
        <f>+AN3&amp;AN4&amp;AN5&amp;AN6&amp;AN7&amp;AN8&amp;AN9&amp;AN10&amp;AN11&amp;AN12&amp;AN13&amp;AN14&amp;AN15&amp;AN16&amp;AN17&amp;AN18&amp;AN19&amp;AN20&amp;AN21&amp;AN22&amp;AN23</f>
        <v/>
      </c>
      <c r="H28" s="68" t="str">
        <f>+AP3&amp;AP4&amp;AP5&amp;AP6&amp;AP7&amp;AP8&amp;AP9&amp;AP10&amp;AP11&amp;AP12&amp;AP13&amp;AP14&amp;AP15&amp;AP16&amp;AP17&amp;AP18&amp;AP19&amp;AP20&amp;AP21&amp;AP22&amp;AP23</f>
        <v/>
      </c>
      <c r="I28" s="68" t="str">
        <f>+AR3&amp;AR4&amp;AR5&amp;AR6&amp;AR7&amp;AR8&amp;AR9&amp;AR10&amp;AR11&amp;AR12&amp;AR13&amp;AR14&amp;AR15&amp;AR16&amp;AR17&amp;AR18&amp;AR19&amp;AR20&amp;AR21&amp;AR22&amp;AR23</f>
        <v xml:space="preserve"> R5 R7 R8 R13 R20</v>
      </c>
      <c r="J28" s="69" t="str">
        <f>+AT3&amp;AT4&amp;AT5&amp;AT6&amp;AT7&amp;AT8&amp;AT9&amp;AT10&amp;AT11&amp;AT12&amp;AT13&amp;AT14&amp;AT15&amp;AT16&amp;AT17&amp;AT18&amp;AT19&amp;AT20&amp;AT21&amp;AT22&amp;AT23</f>
        <v xml:space="preserve"> R6</v>
      </c>
      <c r="L28" s="315"/>
      <c r="M28" s="65">
        <v>4</v>
      </c>
      <c r="N28" s="13" t="str">
        <f>+AL35&amp;AL36&amp;AL37&amp;AL38&amp;AL39&amp;AL40&amp;AL41&amp;AL42&amp;AL43&amp;AL44&amp;AL45&amp;AL46&amp;AL47&amp;AL48&amp;AL49&amp;AL50&amp;AL51&amp;AL52&amp;AL53&amp;AL54&amp;AL55</f>
        <v/>
      </c>
      <c r="O28" s="11" t="str">
        <f>+AN35&amp;AN36&amp;AN37&amp;AN38&amp;AN39&amp;AN40&amp;AN41&amp;AN42&amp;AN43&amp;AN44&amp;AN45&amp;AN46&amp;AN47&amp;AN48&amp;AN49&amp;AN50&amp;AN51&amp;AN52&amp;AN53&amp;AN54&amp;AN55</f>
        <v/>
      </c>
      <c r="P28" s="78" t="str">
        <f>+AP35&amp;AP36&amp;AP37&amp;AP38&amp;AP39&amp;AP40&amp;AP41&amp;AP42&amp;AP43&amp;AP44&amp;AP45&amp;AP46&amp;AP47&amp;AP48&amp;AP49&amp;AP50&amp;AP51&amp;AP52&amp;AP53&amp;AP54&amp;AP55</f>
        <v/>
      </c>
      <c r="Q28" s="78" t="str">
        <f>+AR35&amp;AR36&amp;AR37&amp;AR38&amp;AR39&amp;AR40&amp;AR41&amp;AR42&amp;AR43&amp;AR44&amp;AR45&amp;AR46&amp;AR47&amp;AR48&amp;AR49&amp;AR50&amp;AR51&amp;AR52&amp;AR53&amp;AR54&amp;AR55</f>
        <v/>
      </c>
      <c r="R28" s="16" t="str">
        <f>+AT35&amp;AT36&amp;AT37&amp;AT38&amp;AT39&amp;AT40&amp;AT41&amp;AT42&amp;AT43&amp;AT44&amp;AT45&amp;AT46&amp;AT47&amp;AT48&amp;AT49&amp;AT50&amp;AT51&amp;AT52&amp;AT53&amp;AT54&amp;AT55</f>
        <v/>
      </c>
    </row>
    <row r="29" spans="1:56" ht="84.75" customHeight="1" thickBot="1" x14ac:dyDescent="0.3">
      <c r="D29" s="315"/>
      <c r="E29" s="65">
        <v>3</v>
      </c>
      <c r="F29" s="70" t="str">
        <f>+AB3&amp;AB4&amp;AB5&amp;AB6&amp;AB7&amp;AB8&amp;AB9&amp;AB10&amp;AB11&amp;AB12&amp;AB13&amp;AB14&amp;AB15&amp;AB16&amp;AB17&amp;AB18&amp;AB19&amp;AB20&amp;AB21&amp;AB22&amp;AB23</f>
        <v/>
      </c>
      <c r="G29" s="110" t="str">
        <f>+AD3&amp;AD4&amp;AD5&amp;AD6&amp;AD7&amp;AD8&amp;AD9&amp;AD10&amp;AD11&amp;AD12&amp;AD13&amp;AD14&amp;AD15&amp;AD16&amp;AD17&amp;AD18&amp;AD19&amp;AD20&amp;AD21&amp;AD22&amp;AD23</f>
        <v/>
      </c>
      <c r="H29" s="67" t="str">
        <f>+AF3&amp;AF4&amp;AF5&amp;AF6&amp;AF7&amp;AF8&amp;AF9&amp;AF10&amp;AF11&amp;AF12&amp;AF13&amp;AF14&amp;AF15&amp;AF16&amp;AF17&amp;AF18&amp;AF19&amp;AF20&amp;AF21&amp;AF22&amp;AF23</f>
        <v/>
      </c>
      <c r="I29" s="68" t="str">
        <f>+AH3&amp;AH4&amp;AH5&amp;AH6&amp;AH7&amp;AH8&amp;AH9&amp;AH10&amp;AH11&amp;AH12&amp;AH13&amp;AH14&amp;AH15&amp;AH16&amp;AH17&amp;AH18&amp;AH19&amp;AH20&amp;AH21&amp;AH22&amp;AH23</f>
        <v/>
      </c>
      <c r="J29" s="78" t="str">
        <f>+AJ3&amp;AJ4&amp;AJ5&amp;AJ6&amp;AJ7&amp;AJ8&amp;AJ9&amp;AJ10&amp;AJ11&amp;AJ12&amp;AJ13&amp;AJ14&amp;AJ15&amp;AJ16&amp;AJ17&amp;AJ18&amp;AJ19&amp;AJ20&amp;AJ21&amp;AJ22&amp;AJ23</f>
        <v/>
      </c>
      <c r="L29" s="315"/>
      <c r="M29" s="65">
        <v>3</v>
      </c>
      <c r="N29" s="80" t="str">
        <f>+AB35&amp;AB36&amp;AB37&amp;AB38&amp;AB39&amp;AB40&amp;AB41&amp;AB42&amp;AB43&amp;AB44&amp;AB45&amp;AB46&amp;AB47&amp;AB48&amp;AB49&amp;AB50&amp;AB51&amp;AB52&amp;AB53&amp;AB54&amp;AB55</f>
        <v/>
      </c>
      <c r="O29" s="111" t="str">
        <f>+AD35&amp;AD36&amp;AD37&amp;AD38&amp;AD39&amp;AD40&amp;AD41&amp;AD42&amp;AD43&amp;AD44&amp;AD45&amp;AD46&amp;AD47&amp;AD48&amp;AD49&amp;AD50&amp;AD51&amp;AD52&amp;AD53&amp;AD54&amp;AD55</f>
        <v/>
      </c>
      <c r="P29" s="11" t="str">
        <f>+AF35&amp;AF36&amp;AF37&amp;AF38&amp;AF39&amp;AF40&amp;AF41&amp;AF42&amp;AF43&amp;AF44&amp;AF45&amp;AF46&amp;AF47&amp;AF48&amp;AF49&amp;AF50&amp;AF51&amp;AF52&amp;AF53&amp;AF54&amp;AF55</f>
        <v/>
      </c>
      <c r="Q29" s="78" t="str">
        <f>+AH35&amp;AH36&amp;AH37&amp;AH38&amp;AH39&amp;AH40&amp;AH41&amp;AH42&amp;AH43&amp;AH44&amp;AH45&amp;AH46&amp;AH47&amp;AH48&amp;AH49&amp;AH50&amp;AH51&amp;AH52&amp;AH53&amp;AH54&amp;AH55</f>
        <v/>
      </c>
      <c r="R29" s="78" t="str">
        <f>+AJ35&amp;AJ36&amp;AJ37&amp;AJ38&amp;AJ39&amp;AJ40&amp;AJ41&amp;AJ42&amp;AJ43&amp;AJ44&amp;AJ45&amp;AJ46&amp;AJ47&amp;AJ48&amp;AJ49&amp;AJ50&amp;AJ51&amp;AJ52&amp;AJ53&amp;AJ54&amp;AJ55</f>
        <v/>
      </c>
    </row>
    <row r="30" spans="1:56" ht="84.75" customHeight="1" thickBot="1" x14ac:dyDescent="0.3">
      <c r="D30" s="315"/>
      <c r="E30" s="65">
        <v>2</v>
      </c>
      <c r="F30" s="70" t="str">
        <f>+R3&amp;R4&amp;R5&amp;R6&amp;R7&amp;R8&amp;R9&amp;R10&amp;R11&amp;R12&amp;R13&amp;R14&amp;R15&amp;R16&amp;R17&amp;R18&amp;R19&amp;R20&amp;R21&amp;R22&amp;R23</f>
        <v/>
      </c>
      <c r="G30" s="71" t="str">
        <f>+T3&amp;T4&amp;T5&amp;T6&amp;T7&amp;T8&amp;T9&amp;T10&amp;T11&amp;T12&amp;T13&amp;T14&amp;T15&amp;T16&amp;T17&amp;T18&amp;T19&amp;T20&amp;T21&amp;T22&amp;T23</f>
        <v/>
      </c>
      <c r="H30" s="110" t="str">
        <f>+V3&amp;V4&amp;V5&amp;V6&amp;V7&amp;V8&amp;V9&amp;V10&amp;V11&amp;V12&amp;V13&amp;V14&amp;V15&amp;V16&amp;V17&amp;V18&amp;V19&amp;V20&amp;V21&amp;V22&amp;V23</f>
        <v/>
      </c>
      <c r="I30" s="67" t="str">
        <f>+X3&amp;X4&amp;X5&amp;X6&amp;X7&amp;X8&amp;X9&amp;X10&amp;X11&amp;X12&amp;X13&amp;X14&amp;X15&amp;X16&amp;X17&amp;X18&amp;X19&amp;X20&amp;X21&amp;X22&amp;X23</f>
        <v/>
      </c>
      <c r="J30" s="67" t="str">
        <f>+Z3&amp;Z4&amp;Z5&amp;Z6&amp;Z7&amp;Z8&amp;Z9&amp;Z10&amp;Z11&amp;Z12&amp;Z13&amp;Z14&amp;Z15&amp;Z16&amp;Z17&amp;Z18&amp;Z19&amp;Z20&amp;Z21&amp;Z22&amp;Z23</f>
        <v/>
      </c>
      <c r="L30" s="315"/>
      <c r="M30" s="65">
        <v>2</v>
      </c>
      <c r="N30" s="13" t="str">
        <f>+R35&amp;R36&amp;R37&amp;R38&amp;R39&amp;R40&amp;R41&amp;R42&amp;R43&amp;R44&amp;R45&amp;R466&amp;R46&amp;R47&amp;R48&amp;R49&amp;R50&amp;R51&amp;R52&amp;R53&amp;R54&amp;R55</f>
        <v/>
      </c>
      <c r="O30" s="12" t="str">
        <f>+T35&amp;T36&amp;T37&amp;T38&amp;T39&amp;T40&amp;T41&amp;T42&amp;T43&amp;T44&amp;T45&amp;T46&amp;T47&amp;T48&amp;T49&amp;T50&amp;T51&amp;T52&amp;T53&amp;T54&amp;T55</f>
        <v xml:space="preserve"> R1 R4 R6</v>
      </c>
      <c r="P30" s="111" t="str">
        <f>+V35&amp;V36&amp;V37&amp;V38&amp;V39&amp;V40&amp;V41&amp;V42&amp;V43&amp;V44&amp;V45&amp;V46&amp;V47&amp;V48&amp;V49&amp;V50&amp;V51&amp;V52&amp;V53&amp;V54&amp;V55</f>
        <v/>
      </c>
      <c r="Q30" s="11" t="str">
        <f>+X35&amp;X36&amp;X37&amp;X38&amp;X39&amp;X40&amp;X41&amp;X42&amp;X43&amp;X44&amp;X45&amp;X46&amp;X47&amp;X48&amp;X49&amp;X50&amp;X51&amp;X52&amp;X53&amp;X54&amp;X55</f>
        <v/>
      </c>
      <c r="R30" s="11" t="str">
        <f>+Z35&amp;Z36&amp;Z37&amp;Z38&amp;Z39&amp;Z40&amp;Z41&amp;Z42&amp;Z43&amp;Z44&amp;Z45&amp;Z46&amp;Z47&amp;Z48&amp;Z49&amp;Z50&amp;Z51&amp;Z52&amp;Z53&amp;Z54&amp;Z55</f>
        <v/>
      </c>
    </row>
    <row r="31" spans="1:56" ht="84.75" customHeight="1" thickBot="1" x14ac:dyDescent="0.3">
      <c r="D31" s="315"/>
      <c r="E31" s="72">
        <v>1</v>
      </c>
      <c r="F31" s="73" t="str">
        <f>+H3&amp;H4&amp;H5&amp;H6&amp;H7&amp;H8&amp;H9&amp;H10&amp;H11&amp;H12&amp;H13&amp;H14&amp;H15&amp;H16&amp;H17&amp;H18&amp;H19&amp;H20&amp;H21&amp;H22&amp;H23</f>
        <v/>
      </c>
      <c r="G31" s="74" t="str">
        <f>+J3&amp;J4&amp;J5&amp;J6&amp;J7&amp;J8&amp;J9&amp;J10&amp;J11&amp;J12&amp;J13&amp;J14&amp;J15&amp;J16&amp;J17&amp;J18&amp;J19&amp;J20&amp;J21&amp;J22&amp;J23</f>
        <v/>
      </c>
      <c r="H31" s="74" t="str">
        <f>+L3&amp;L4&amp;L5&amp;L6&amp;L7&amp;L8&amp;L9&amp;L10&amp;L11&amp;L12&amp;L13&amp;L14&amp;L15&amp;L16&amp;L17&amp;L18&amp;L19&amp;L20&amp;L21&amp;L22&amp;L23</f>
        <v/>
      </c>
      <c r="I31" s="74" t="str">
        <f>+N3&amp;N4&amp;N5&amp;N6&amp;N7&amp;N8&amp;N10&amp;N9&amp;N11&amp;N12&amp;N13&amp;N14&amp;N15&amp;N16&amp;N17&amp;N18&amp;N19&amp;N20&amp;N21&amp;N22&amp;N23</f>
        <v/>
      </c>
      <c r="J31" s="109" t="str">
        <f>+P3&amp;P4&amp;P5&amp;P6&amp;P7&amp;P8&amp;P10&amp;P9&amp;P11&amp;P12&amp;P13&amp;P14&amp;P15&amp;P16&amp;P17&amp;P18&amp;P19&amp;P20&amp;P21&amp;P22&amp;P23</f>
        <v/>
      </c>
      <c r="L31" s="315"/>
      <c r="M31" s="72">
        <v>1</v>
      </c>
      <c r="N31" s="79" t="str">
        <f>+H35&amp;H36&amp;H37&amp;H38&amp;H39&amp;H40&amp;H41&amp;H42&amp;H43&amp;H44&amp;H45&amp;H46&amp;H47&amp;H48&amp;H49&amp;H50&amp;H51&amp;H52&amp;H53&amp;H54&amp;H55</f>
        <v xml:space="preserve"> R2 R3 R4 R5 R7 R8 R9 R10 R11 R12 R13 R14 R15 R16 R17 R18 R19 R20 R21</v>
      </c>
      <c r="O31" s="14" t="str">
        <f>+J35&amp;J36&amp;J37&amp;J38&amp;J39&amp;J40&amp;J41&amp;J42&amp;J43&amp;J44&amp;J45&amp;J46&amp;J47&amp;J48&amp;J49&amp;J50&amp;J51&amp;J52&amp;J53&amp;J54&amp;J55</f>
        <v/>
      </c>
      <c r="P31" s="14" t="str">
        <f>+L35&amp;L36&amp;L37&amp;L38&amp;L39&amp;L40&amp;L41&amp;L42&amp;L43&amp;L44&amp;L45&amp;L46&amp;L47&amp;L48&amp;L49&amp;L50&amp;L51&amp;L52&amp;L53&amp;L54&amp;L55</f>
        <v/>
      </c>
      <c r="Q31" s="14" t="str">
        <f>+N35&amp;N36&amp;N37&amp;N38&amp;N39&amp;N40&amp;N41&amp;N42&amp;N43&amp;N44&amp;N45&amp;N46&amp;N47&amp;N48&amp;N49&amp;N50&amp;N51&amp;N52&amp;N53&amp;N54&amp;N55</f>
        <v/>
      </c>
      <c r="R31" s="14" t="str">
        <f>+P35&amp;P36&amp;P37&amp;P38&amp;P39&amp;P40&amp;P41&amp;P42&amp;P43&amp;P44&amp;P45&amp;P46&amp;P47&amp;P48&amp;P49&amp;P50&amp;P51&amp;P52&amp;P53&amp;P54&amp;P55</f>
        <v/>
      </c>
    </row>
    <row r="32" spans="1:56" ht="60.6" customHeight="1" thickTop="1" x14ac:dyDescent="0.25">
      <c r="F32" s="75">
        <v>1</v>
      </c>
      <c r="G32" s="76">
        <v>2</v>
      </c>
      <c r="H32" s="76">
        <v>3</v>
      </c>
      <c r="I32" s="76">
        <v>4</v>
      </c>
      <c r="J32" s="76">
        <v>5</v>
      </c>
      <c r="N32" s="75">
        <v>1</v>
      </c>
      <c r="O32" s="76">
        <v>2</v>
      </c>
      <c r="P32" s="76">
        <v>3</v>
      </c>
      <c r="Q32" s="76">
        <v>4</v>
      </c>
      <c r="R32" s="76">
        <v>5</v>
      </c>
    </row>
    <row r="33" spans="1:56" ht="60.75" customHeight="1" x14ac:dyDescent="0.25">
      <c r="E33" s="316" t="s">
        <v>120</v>
      </c>
      <c r="F33" s="316"/>
      <c r="G33" s="316"/>
      <c r="H33" s="316"/>
      <c r="I33" s="316"/>
      <c r="J33" s="316"/>
      <c r="M33" s="316" t="s">
        <v>120</v>
      </c>
      <c r="N33" s="316"/>
      <c r="O33" s="316"/>
      <c r="P33" s="316"/>
      <c r="Q33" s="316"/>
      <c r="R33" s="316"/>
    </row>
    <row r="34" spans="1:56" hidden="1" x14ac:dyDescent="0.25">
      <c r="G34" s="21">
        <v>1.1000000000000001</v>
      </c>
      <c r="I34" s="21">
        <v>1.2</v>
      </c>
      <c r="K34" s="21">
        <v>1.3</v>
      </c>
      <c r="M34" s="21">
        <v>1.4</v>
      </c>
      <c r="O34" s="21">
        <v>1.5</v>
      </c>
      <c r="Q34" s="21">
        <v>2.1</v>
      </c>
      <c r="S34" s="21">
        <v>2.2000000000000002</v>
      </c>
      <c r="U34" s="21">
        <v>2.2999999999999998</v>
      </c>
      <c r="W34" s="21">
        <v>2.4</v>
      </c>
      <c r="Y34" s="21">
        <v>2.5</v>
      </c>
      <c r="AA34" s="21">
        <v>3.1</v>
      </c>
      <c r="AC34" s="21">
        <v>3.2</v>
      </c>
      <c r="AE34" s="21">
        <v>3.3</v>
      </c>
      <c r="AG34" s="21">
        <v>3.4</v>
      </c>
      <c r="AI34" s="21">
        <v>3.5</v>
      </c>
      <c r="AK34" s="21">
        <v>4.0999999999999996</v>
      </c>
      <c r="AM34" s="21">
        <v>4.2</v>
      </c>
      <c r="AO34" s="21">
        <v>4.3</v>
      </c>
      <c r="AQ34" s="21">
        <v>4.4000000000000004</v>
      </c>
      <c r="AS34" s="21">
        <v>4.5</v>
      </c>
      <c r="AU34" s="21">
        <v>5.0999999999999996</v>
      </c>
      <c r="AW34" s="21">
        <v>5.2</v>
      </c>
      <c r="AY34" s="21">
        <v>5.3</v>
      </c>
      <c r="BA34" s="21">
        <v>5.4</v>
      </c>
      <c r="BC34" s="21">
        <v>5.5</v>
      </c>
    </row>
    <row r="35" spans="1:56" hidden="1" x14ac:dyDescent="0.25">
      <c r="A35" s="63">
        <f t="shared" ref="A35:A46" si="91">+A3</f>
        <v>1</v>
      </c>
      <c r="C35" s="77">
        <f>+ROUNDDOWN('RIESGO RESIDUAL'!J3,0)</f>
        <v>2</v>
      </c>
      <c r="D35" s="77">
        <f>+ROUNDDOWN('RIESGO RESIDUAL'!K3,0)</f>
        <v>2</v>
      </c>
      <c r="G35" s="21" t="b">
        <f t="shared" ref="G35:G46" si="92">+AND(C35=1,D35=1)</f>
        <v>0</v>
      </c>
      <c r="H35" s="21" t="str">
        <f>+IF(G35," R"&amp;$A35,"")</f>
        <v/>
      </c>
      <c r="I35" s="21" t="b">
        <f>+AND($C35=1,$D35=2)</f>
        <v>0</v>
      </c>
      <c r="J35" s="21" t="str">
        <f t="shared" ref="J35:J46" si="93">+IF(I35," R"&amp;A35,"")</f>
        <v/>
      </c>
      <c r="K35" s="21" t="b">
        <f t="shared" ref="K35:K55" si="94">+AND($C35=1,$D35=3)</f>
        <v>0</v>
      </c>
      <c r="L35" s="21" t="str">
        <f>+IF(K35," R"&amp;$A35,"")</f>
        <v/>
      </c>
      <c r="M35" s="21" t="b">
        <f t="shared" ref="M35:M55" si="95">+AND($C35=1,$D35=4)</f>
        <v>0</v>
      </c>
      <c r="N35" s="21" t="str">
        <f>+IF(M35," R"&amp;$A35,"")</f>
        <v/>
      </c>
      <c r="O35" s="21" t="b">
        <f t="shared" ref="O35:O55" si="96">+AND($C35=1,$D35=5)</f>
        <v>0</v>
      </c>
      <c r="P35" s="21" t="str">
        <f t="shared" ref="P35:P46" si="97">+IF(O35," R"&amp;$A35,"")</f>
        <v/>
      </c>
      <c r="Q35" s="21" t="b">
        <f t="shared" ref="Q35:Q55" si="98">+AND($C35=2,$D35=1)</f>
        <v>0</v>
      </c>
      <c r="R35" s="21" t="str">
        <f t="shared" ref="R35:R46" si="99">+IF(Q35," R"&amp;$A35,"")</f>
        <v/>
      </c>
      <c r="S35" s="21" t="b">
        <f>+AND($C35=2,$D35=2)</f>
        <v>1</v>
      </c>
      <c r="T35" s="21" t="str">
        <f t="shared" ref="T35:T46" si="100">+IF(S35," R"&amp;$A35,"")</f>
        <v xml:space="preserve"> R1</v>
      </c>
      <c r="U35" s="21" t="b">
        <f t="shared" ref="U35:U55" si="101">+AND($C35=2,$D35=3)</f>
        <v>0</v>
      </c>
      <c r="V35" s="21" t="str">
        <f t="shared" ref="V35:V46" si="102">+IF(U35," R"&amp;$A35,"")</f>
        <v/>
      </c>
      <c r="W35" s="21" t="b">
        <f t="shared" ref="W35:W55" si="103">+AND($C35=2,$D35=4)</f>
        <v>0</v>
      </c>
      <c r="X35" s="21" t="str">
        <f t="shared" ref="X35:X46" si="104">+IF(W35," R"&amp;$A35,"")</f>
        <v/>
      </c>
      <c r="Y35" s="21" t="b">
        <f t="shared" ref="Y35:Y55" si="105">+AND($C35=2,$D35=5)</f>
        <v>0</v>
      </c>
      <c r="Z35" s="21" t="str">
        <f t="shared" ref="Z35:Z46" si="106">+IF(Y35," R"&amp;$A35,"")</f>
        <v/>
      </c>
      <c r="AA35" s="21" t="b">
        <f t="shared" ref="AA35:AA44" si="107">+AND($C35=3,$D35=1)</f>
        <v>0</v>
      </c>
      <c r="AB35" s="21" t="str">
        <f t="shared" ref="AB35:AB46" si="108">+IF(AA35," R"&amp;$A35,"")</f>
        <v/>
      </c>
      <c r="AC35" s="21" t="b">
        <f t="shared" ref="AC35:AC44" si="109">+AND($C35=3,$D35=2)</f>
        <v>0</v>
      </c>
      <c r="AD35" s="21" t="str">
        <f t="shared" ref="AD35:AD46" si="110">+IF(AC35," R"&amp;$A35,"")</f>
        <v/>
      </c>
      <c r="AE35" s="21" t="b">
        <f t="shared" ref="AE35:AE44" si="111">+AND($C35=3,$D35=3)</f>
        <v>0</v>
      </c>
      <c r="AF35" s="21" t="str">
        <f t="shared" ref="AF35:AF46" si="112">+IF(AE35," R"&amp;$A35,"")</f>
        <v/>
      </c>
      <c r="AG35" s="21" t="b">
        <f t="shared" ref="AG35:AG55" si="113">+AND($C35=3,$D35=4)</f>
        <v>0</v>
      </c>
      <c r="AH35" s="21" t="str">
        <f t="shared" ref="AH35:AH46" si="114">+IF(AG35," R"&amp;$A35,"")</f>
        <v/>
      </c>
      <c r="AI35" s="21" t="b">
        <f>+AND($C36=3,$D36=5)</f>
        <v>0</v>
      </c>
      <c r="AJ35" s="21" t="str">
        <f t="shared" ref="AJ35:AJ46" si="115">+IF(AI35," R"&amp;$A35,"")</f>
        <v/>
      </c>
      <c r="AK35" s="21" t="b">
        <f>+AND($C36=4,$D36=1)</f>
        <v>0</v>
      </c>
      <c r="AL35" s="21" t="str">
        <f t="shared" ref="AL35:AL46" si="116">+IF(AK35," R"&amp;$A35,"")</f>
        <v/>
      </c>
      <c r="AM35" s="21" t="b">
        <f t="shared" ref="AM35:AM44" si="117">+AND($C35=4,$D35=2)</f>
        <v>0</v>
      </c>
      <c r="AN35" s="21" t="str">
        <f t="shared" ref="AN35:AN46" si="118">+IF(AM35," R"&amp;$A35,"")</f>
        <v/>
      </c>
      <c r="AO35" s="21" t="b">
        <f>+AND($C36=4,$D36=3)</f>
        <v>0</v>
      </c>
      <c r="AP35" s="21" t="str">
        <f>+IF(AO35," R"&amp;$A35,"")</f>
        <v/>
      </c>
      <c r="AQ35" s="21" t="b">
        <f>+AND($C36=4,$D36=4)</f>
        <v>0</v>
      </c>
      <c r="AR35" s="21" t="str">
        <f t="shared" ref="AR35:AR46" si="119">+IF(AQ35," R"&amp;$A35,"")</f>
        <v/>
      </c>
      <c r="AS35" s="21" t="b">
        <f>+AND($C36=4,$D36=5)</f>
        <v>0</v>
      </c>
      <c r="AT35" s="21" t="str">
        <f t="shared" ref="AT35:AT46" si="120">+IF(AS35," R"&amp;$A35,"")</f>
        <v/>
      </c>
      <c r="AU35" s="21" t="b">
        <f t="shared" ref="AU35:AU44" si="121">+AND($C35=5,$D35=1)</f>
        <v>0</v>
      </c>
      <c r="AV35" s="21" t="str">
        <f t="shared" ref="AV35:AV46" si="122">+IF(AU35," R"&amp;$A35,"")</f>
        <v/>
      </c>
      <c r="AW35" s="21" t="b">
        <f t="shared" ref="AW35:AW44" si="123">+AND($C35=5,$D35=2)</f>
        <v>0</v>
      </c>
      <c r="AX35" s="21" t="str">
        <f t="shared" ref="AX35:AX46" si="124">+IF(AW35," R"&amp;$A35,"")</f>
        <v/>
      </c>
      <c r="AY35" s="21" t="b">
        <f t="shared" ref="AY35:AY44" si="125">+AND($C35=5,$D35=3)</f>
        <v>0</v>
      </c>
      <c r="AZ35" s="21" t="str">
        <f t="shared" ref="AZ35:AZ46" si="126">+IF(AY35," R"&amp;$A35,"")</f>
        <v/>
      </c>
      <c r="BA35" s="21" t="b">
        <f t="shared" ref="BA35:BA44" si="127">+AND($C35=5,$D35=4)</f>
        <v>0</v>
      </c>
      <c r="BB35" s="21" t="str">
        <f t="shared" ref="BB35:BB46" si="128">+IF(BA35," R"&amp;$A35,"")</f>
        <v/>
      </c>
      <c r="BC35" s="21" t="b">
        <f t="shared" ref="BC35:BC55" si="129">+AND($C35=5,$D35=5)</f>
        <v>0</v>
      </c>
      <c r="BD35" s="21" t="str">
        <f t="shared" ref="BD35:BD46" si="130">+IF(BC35," R"&amp;$A35,"")</f>
        <v/>
      </c>
    </row>
    <row r="36" spans="1:56" hidden="1" x14ac:dyDescent="0.25">
      <c r="A36" s="63">
        <f t="shared" si="91"/>
        <v>2</v>
      </c>
      <c r="C36" s="77">
        <f>+ROUNDDOWN('RIESGO RESIDUAL'!J4,0)</f>
        <v>1</v>
      </c>
      <c r="D36" s="77">
        <f>+ROUNDDOWN('RIESGO RESIDUAL'!K4,0)</f>
        <v>1</v>
      </c>
      <c r="G36" s="21" t="b">
        <f t="shared" si="92"/>
        <v>1</v>
      </c>
      <c r="H36" s="21" t="str">
        <f t="shared" ref="H36:H46" si="131">+IF(G36," R"&amp;$A36,"")</f>
        <v xml:space="preserve"> R2</v>
      </c>
      <c r="I36" s="21" t="b">
        <f t="shared" ref="I36:I46" si="132">+AND(C36=1,D36=2)</f>
        <v>0</v>
      </c>
      <c r="J36" s="21" t="str">
        <f t="shared" si="93"/>
        <v/>
      </c>
      <c r="K36" s="21" t="b">
        <f t="shared" si="94"/>
        <v>0</v>
      </c>
      <c r="L36" s="21" t="str">
        <f t="shared" ref="L36:N46" si="133">+IF(K36," R"&amp;$A36,"")</f>
        <v/>
      </c>
      <c r="M36" s="21" t="b">
        <f t="shared" si="95"/>
        <v>0</v>
      </c>
      <c r="N36" s="21" t="str">
        <f t="shared" si="133"/>
        <v/>
      </c>
      <c r="O36" s="21" t="b">
        <f t="shared" si="96"/>
        <v>0</v>
      </c>
      <c r="P36" s="21" t="str">
        <f t="shared" si="97"/>
        <v/>
      </c>
      <c r="Q36" s="21" t="b">
        <f t="shared" si="98"/>
        <v>0</v>
      </c>
      <c r="R36" s="21" t="str">
        <f t="shared" si="99"/>
        <v/>
      </c>
      <c r="S36" s="21" t="b">
        <f>+AND($C36=2,$D36=2)</f>
        <v>0</v>
      </c>
      <c r="T36" s="21" t="str">
        <f t="shared" si="100"/>
        <v/>
      </c>
      <c r="U36" s="21" t="b">
        <f t="shared" si="101"/>
        <v>0</v>
      </c>
      <c r="V36" s="21" t="str">
        <f t="shared" si="102"/>
        <v/>
      </c>
      <c r="W36" s="21" t="b">
        <f t="shared" si="103"/>
        <v>0</v>
      </c>
      <c r="X36" s="21" t="str">
        <f t="shared" si="104"/>
        <v/>
      </c>
      <c r="Y36" s="21" t="b">
        <f t="shared" si="105"/>
        <v>0</v>
      </c>
      <c r="Z36" s="21" t="str">
        <f t="shared" si="106"/>
        <v/>
      </c>
      <c r="AA36" s="21" t="b">
        <f t="shared" si="107"/>
        <v>0</v>
      </c>
      <c r="AB36" s="21" t="str">
        <f t="shared" si="108"/>
        <v/>
      </c>
      <c r="AC36" s="21" t="b">
        <f t="shared" si="109"/>
        <v>0</v>
      </c>
      <c r="AD36" s="21" t="str">
        <f t="shared" si="110"/>
        <v/>
      </c>
      <c r="AE36" s="21" t="b">
        <f t="shared" si="111"/>
        <v>0</v>
      </c>
      <c r="AF36" s="21" t="str">
        <f t="shared" si="112"/>
        <v/>
      </c>
      <c r="AG36" s="21" t="b">
        <f t="shared" si="113"/>
        <v>0</v>
      </c>
      <c r="AH36" s="21" t="str">
        <f t="shared" si="114"/>
        <v/>
      </c>
      <c r="AI36" s="21" t="b">
        <f t="shared" ref="AI36:AI44" si="134">+AND($C36=3,$D36=5)</f>
        <v>0</v>
      </c>
      <c r="AJ36" s="21" t="str">
        <f t="shared" si="115"/>
        <v/>
      </c>
      <c r="AK36" s="21" t="b">
        <f t="shared" ref="AK36:AK44" si="135">+AND($C36=4,$D36=1)</f>
        <v>0</v>
      </c>
      <c r="AL36" s="21" t="str">
        <f t="shared" si="116"/>
        <v/>
      </c>
      <c r="AM36" s="21" t="b">
        <f t="shared" si="117"/>
        <v>0</v>
      </c>
      <c r="AN36" s="21" t="str">
        <f t="shared" si="118"/>
        <v/>
      </c>
      <c r="AO36" s="21" t="b">
        <f>+AND($C36=4,$D36=3)</f>
        <v>0</v>
      </c>
      <c r="AP36" s="21" t="str">
        <f t="shared" ref="AP36:AP46" si="136">+IF(AO36," R"&amp;$A36,"")</f>
        <v/>
      </c>
      <c r="AQ36" s="21" t="b">
        <f>+AND($C36=4,$D36=4)</f>
        <v>0</v>
      </c>
      <c r="AR36" s="21" t="str">
        <f t="shared" si="119"/>
        <v/>
      </c>
      <c r="AS36" s="21" t="b">
        <f>+AND($C36=4,$D36=5)</f>
        <v>0</v>
      </c>
      <c r="AT36" s="21" t="str">
        <f t="shared" si="120"/>
        <v/>
      </c>
      <c r="AU36" s="21" t="b">
        <f t="shared" si="121"/>
        <v>0</v>
      </c>
      <c r="AV36" s="21" t="str">
        <f t="shared" si="122"/>
        <v/>
      </c>
      <c r="AW36" s="21" t="b">
        <f t="shared" si="123"/>
        <v>0</v>
      </c>
      <c r="AX36" s="21" t="str">
        <f t="shared" si="124"/>
        <v/>
      </c>
      <c r="AY36" s="21" t="b">
        <f t="shared" si="125"/>
        <v>0</v>
      </c>
      <c r="AZ36" s="21" t="str">
        <f t="shared" si="126"/>
        <v/>
      </c>
      <c r="BA36" s="21" t="b">
        <f t="shared" si="127"/>
        <v>0</v>
      </c>
      <c r="BB36" s="21" t="str">
        <f t="shared" si="128"/>
        <v/>
      </c>
      <c r="BC36" s="21" t="b">
        <f t="shared" si="129"/>
        <v>0</v>
      </c>
      <c r="BD36" s="21" t="str">
        <f t="shared" si="130"/>
        <v/>
      </c>
    </row>
    <row r="37" spans="1:56" hidden="1" x14ac:dyDescent="0.25">
      <c r="A37" s="63">
        <f t="shared" si="91"/>
        <v>3</v>
      </c>
      <c r="C37" s="77">
        <f>+ROUNDDOWN('RIESGO RESIDUAL'!J5,0)</f>
        <v>1</v>
      </c>
      <c r="D37" s="77">
        <f>+ROUNDDOWN('RIESGO RESIDUAL'!K5,0)</f>
        <v>1</v>
      </c>
      <c r="G37" s="21" t="b">
        <f t="shared" si="92"/>
        <v>1</v>
      </c>
      <c r="H37" s="21" t="str">
        <f t="shared" si="131"/>
        <v xml:space="preserve"> R3</v>
      </c>
      <c r="I37" s="21" t="b">
        <f t="shared" si="132"/>
        <v>0</v>
      </c>
      <c r="J37" s="21" t="str">
        <f t="shared" si="93"/>
        <v/>
      </c>
      <c r="K37" s="21" t="b">
        <f t="shared" si="94"/>
        <v>0</v>
      </c>
      <c r="L37" s="21" t="str">
        <f t="shared" si="133"/>
        <v/>
      </c>
      <c r="M37" s="21" t="b">
        <f t="shared" si="95"/>
        <v>0</v>
      </c>
      <c r="N37" s="21" t="str">
        <f t="shared" si="133"/>
        <v/>
      </c>
      <c r="O37" s="21" t="b">
        <f t="shared" si="96"/>
        <v>0</v>
      </c>
      <c r="P37" s="21" t="str">
        <f t="shared" si="97"/>
        <v/>
      </c>
      <c r="Q37" s="21" t="b">
        <f t="shared" si="98"/>
        <v>0</v>
      </c>
      <c r="R37" s="21" t="str">
        <f t="shared" si="99"/>
        <v/>
      </c>
      <c r="S37" s="21" t="b">
        <f>+AND($C37=2,$D37=2)</f>
        <v>0</v>
      </c>
      <c r="T37" s="21" t="str">
        <f t="shared" si="100"/>
        <v/>
      </c>
      <c r="U37" s="21" t="b">
        <f t="shared" si="101"/>
        <v>0</v>
      </c>
      <c r="V37" s="21" t="str">
        <f t="shared" si="102"/>
        <v/>
      </c>
      <c r="W37" s="21" t="b">
        <f t="shared" si="103"/>
        <v>0</v>
      </c>
      <c r="X37" s="21" t="str">
        <f t="shared" si="104"/>
        <v/>
      </c>
      <c r="Y37" s="21" t="b">
        <f t="shared" si="105"/>
        <v>0</v>
      </c>
      <c r="Z37" s="21" t="str">
        <f t="shared" si="106"/>
        <v/>
      </c>
      <c r="AA37" s="21" t="b">
        <f t="shared" si="107"/>
        <v>0</v>
      </c>
      <c r="AB37" s="21" t="str">
        <f t="shared" si="108"/>
        <v/>
      </c>
      <c r="AC37" s="21" t="b">
        <f t="shared" si="109"/>
        <v>0</v>
      </c>
      <c r="AD37" s="21" t="str">
        <f t="shared" si="110"/>
        <v/>
      </c>
      <c r="AE37" s="21" t="b">
        <f t="shared" si="111"/>
        <v>0</v>
      </c>
      <c r="AF37" s="21" t="str">
        <f t="shared" si="112"/>
        <v/>
      </c>
      <c r="AG37" s="21" t="b">
        <f t="shared" si="113"/>
        <v>0</v>
      </c>
      <c r="AH37" s="21" t="str">
        <f t="shared" si="114"/>
        <v/>
      </c>
      <c r="AI37" s="21" t="b">
        <f t="shared" si="134"/>
        <v>0</v>
      </c>
      <c r="AJ37" s="21" t="str">
        <f t="shared" si="115"/>
        <v/>
      </c>
      <c r="AK37" s="21" t="b">
        <f t="shared" si="135"/>
        <v>0</v>
      </c>
      <c r="AL37" s="21" t="str">
        <f t="shared" si="116"/>
        <v/>
      </c>
      <c r="AM37" s="21" t="b">
        <f t="shared" si="117"/>
        <v>0</v>
      </c>
      <c r="AN37" s="21" t="str">
        <f t="shared" si="118"/>
        <v/>
      </c>
      <c r="AO37" s="21" t="b">
        <f>+AND($C37=4,$D37=3)</f>
        <v>0</v>
      </c>
      <c r="AP37" s="21" t="str">
        <f t="shared" si="136"/>
        <v/>
      </c>
      <c r="AQ37" s="21" t="b">
        <f>+AND($C37=4,$D37=4)</f>
        <v>0</v>
      </c>
      <c r="AR37" s="21" t="str">
        <f t="shared" si="119"/>
        <v/>
      </c>
      <c r="AS37" s="21" t="b">
        <f>+AND($C37=4,$D37=5)</f>
        <v>0</v>
      </c>
      <c r="AT37" s="21" t="str">
        <f t="shared" si="120"/>
        <v/>
      </c>
      <c r="AU37" s="21" t="b">
        <f t="shared" si="121"/>
        <v>0</v>
      </c>
      <c r="AV37" s="21" t="str">
        <f t="shared" si="122"/>
        <v/>
      </c>
      <c r="AW37" s="21" t="b">
        <f t="shared" si="123"/>
        <v>0</v>
      </c>
      <c r="AX37" s="21" t="str">
        <f t="shared" si="124"/>
        <v/>
      </c>
      <c r="AY37" s="21" t="b">
        <f t="shared" si="125"/>
        <v>0</v>
      </c>
      <c r="AZ37" s="21" t="str">
        <f t="shared" si="126"/>
        <v/>
      </c>
      <c r="BA37" s="21" t="b">
        <f t="shared" si="127"/>
        <v>0</v>
      </c>
      <c r="BB37" s="21" t="str">
        <f t="shared" si="128"/>
        <v/>
      </c>
      <c r="BC37" s="21" t="b">
        <f t="shared" si="129"/>
        <v>0</v>
      </c>
      <c r="BD37" s="21" t="str">
        <f t="shared" si="130"/>
        <v/>
      </c>
    </row>
    <row r="38" spans="1:56" hidden="1" x14ac:dyDescent="0.25">
      <c r="A38" s="63">
        <f t="shared" si="91"/>
        <v>4</v>
      </c>
      <c r="C38" s="77">
        <f>+ROUNDDOWN('RIESGO RESIDUAL'!J6,0)</f>
        <v>1</v>
      </c>
      <c r="D38" s="77">
        <f>+ROUNDDOWN('RIESGO RESIDUAL'!K6,0)</f>
        <v>1</v>
      </c>
      <c r="G38" s="21" t="b">
        <f t="shared" si="92"/>
        <v>1</v>
      </c>
      <c r="H38" s="21" t="str">
        <f t="shared" si="131"/>
        <v xml:space="preserve"> R4</v>
      </c>
      <c r="I38" s="21" t="b">
        <f t="shared" si="132"/>
        <v>0</v>
      </c>
      <c r="J38" s="21" t="str">
        <f t="shared" si="93"/>
        <v/>
      </c>
      <c r="K38" s="21" t="b">
        <f t="shared" si="94"/>
        <v>0</v>
      </c>
      <c r="L38" s="21" t="str">
        <f t="shared" si="133"/>
        <v/>
      </c>
      <c r="M38" s="21" t="b">
        <f t="shared" si="95"/>
        <v>0</v>
      </c>
      <c r="N38" s="21" t="str">
        <f t="shared" si="133"/>
        <v/>
      </c>
      <c r="O38" s="21" t="b">
        <f t="shared" si="96"/>
        <v>0</v>
      </c>
      <c r="P38" s="21" t="str">
        <f t="shared" si="97"/>
        <v/>
      </c>
      <c r="Q38" s="21" t="b">
        <f t="shared" si="98"/>
        <v>0</v>
      </c>
      <c r="R38" s="21" t="str">
        <f t="shared" si="99"/>
        <v/>
      </c>
      <c r="S38" s="21" t="b">
        <f>+AND($C35=2,$D35=2)</f>
        <v>1</v>
      </c>
      <c r="T38" s="21" t="str">
        <f t="shared" si="100"/>
        <v xml:space="preserve"> R4</v>
      </c>
      <c r="U38" s="21" t="b">
        <f t="shared" si="101"/>
        <v>0</v>
      </c>
      <c r="V38" s="21" t="str">
        <f t="shared" si="102"/>
        <v/>
      </c>
      <c r="W38" s="21" t="b">
        <f t="shared" si="103"/>
        <v>0</v>
      </c>
      <c r="X38" s="21" t="str">
        <f t="shared" si="104"/>
        <v/>
      </c>
      <c r="Y38" s="21" t="b">
        <f t="shared" si="105"/>
        <v>0</v>
      </c>
      <c r="Z38" s="21" t="str">
        <f t="shared" si="106"/>
        <v/>
      </c>
      <c r="AA38" s="21" t="b">
        <f t="shared" si="107"/>
        <v>0</v>
      </c>
      <c r="AB38" s="21" t="str">
        <f t="shared" si="108"/>
        <v/>
      </c>
      <c r="AC38" s="21" t="b">
        <f t="shared" si="109"/>
        <v>0</v>
      </c>
      <c r="AD38" s="21" t="str">
        <f t="shared" si="110"/>
        <v/>
      </c>
      <c r="AE38" s="21" t="b">
        <f t="shared" si="111"/>
        <v>0</v>
      </c>
      <c r="AF38" s="21" t="str">
        <f t="shared" si="112"/>
        <v/>
      </c>
      <c r="AG38" s="21" t="b">
        <f t="shared" si="113"/>
        <v>0</v>
      </c>
      <c r="AH38" s="21" t="str">
        <f t="shared" si="114"/>
        <v/>
      </c>
      <c r="AI38" s="21" t="b">
        <f t="shared" si="134"/>
        <v>0</v>
      </c>
      <c r="AJ38" s="21" t="str">
        <f t="shared" si="115"/>
        <v/>
      </c>
      <c r="AK38" s="21" t="b">
        <f t="shared" si="135"/>
        <v>0</v>
      </c>
      <c r="AL38" s="21" t="str">
        <f t="shared" si="116"/>
        <v/>
      </c>
      <c r="AM38" s="21" t="b">
        <f t="shared" si="117"/>
        <v>0</v>
      </c>
      <c r="AN38" s="21" t="str">
        <f t="shared" si="118"/>
        <v/>
      </c>
      <c r="AO38" s="21" t="b">
        <f>+AND($C36=4,$D36=3)</f>
        <v>0</v>
      </c>
      <c r="AP38" s="21" t="str">
        <f t="shared" si="136"/>
        <v/>
      </c>
      <c r="AQ38" s="21" t="b">
        <f>+AND($C36=4,$D36=4)</f>
        <v>0</v>
      </c>
      <c r="AR38" s="21" t="str">
        <f t="shared" si="119"/>
        <v/>
      </c>
      <c r="AS38" s="21" t="b">
        <f>+AND($C36=4,$D36=5)</f>
        <v>0</v>
      </c>
      <c r="AT38" s="21" t="str">
        <f t="shared" si="120"/>
        <v/>
      </c>
      <c r="AU38" s="21" t="b">
        <f t="shared" si="121"/>
        <v>0</v>
      </c>
      <c r="AV38" s="21" t="str">
        <f t="shared" si="122"/>
        <v/>
      </c>
      <c r="AW38" s="21" t="b">
        <f t="shared" si="123"/>
        <v>0</v>
      </c>
      <c r="AX38" s="21" t="str">
        <f t="shared" si="124"/>
        <v/>
      </c>
      <c r="AY38" s="21" t="b">
        <f t="shared" si="125"/>
        <v>0</v>
      </c>
      <c r="AZ38" s="21" t="str">
        <f t="shared" si="126"/>
        <v/>
      </c>
      <c r="BA38" s="21" t="b">
        <f t="shared" si="127"/>
        <v>0</v>
      </c>
      <c r="BB38" s="21" t="str">
        <f t="shared" si="128"/>
        <v/>
      </c>
      <c r="BC38" s="21" t="b">
        <f t="shared" si="129"/>
        <v>0</v>
      </c>
      <c r="BD38" s="21" t="str">
        <f t="shared" si="130"/>
        <v/>
      </c>
    </row>
    <row r="39" spans="1:56" hidden="1" x14ac:dyDescent="0.25">
      <c r="A39" s="63">
        <f t="shared" si="91"/>
        <v>5</v>
      </c>
      <c r="C39" s="77">
        <f>+ROUNDDOWN('RIESGO RESIDUAL'!J7,0)</f>
        <v>1</v>
      </c>
      <c r="D39" s="77">
        <f>+ROUNDDOWN('RIESGO RESIDUAL'!K7,0)</f>
        <v>1</v>
      </c>
      <c r="G39" s="21" t="b">
        <f t="shared" si="92"/>
        <v>1</v>
      </c>
      <c r="H39" s="21" t="str">
        <f t="shared" si="131"/>
        <v xml:space="preserve"> R5</v>
      </c>
      <c r="I39" s="21" t="b">
        <f t="shared" si="132"/>
        <v>0</v>
      </c>
      <c r="J39" s="21" t="str">
        <f t="shared" si="93"/>
        <v/>
      </c>
      <c r="K39" s="21" t="b">
        <f t="shared" si="94"/>
        <v>0</v>
      </c>
      <c r="L39" s="21" t="str">
        <f t="shared" si="133"/>
        <v/>
      </c>
      <c r="M39" s="21" t="b">
        <f t="shared" si="95"/>
        <v>0</v>
      </c>
      <c r="N39" s="21" t="str">
        <f t="shared" si="133"/>
        <v/>
      </c>
      <c r="O39" s="21" t="b">
        <f t="shared" si="96"/>
        <v>0</v>
      </c>
      <c r="P39" s="21" t="str">
        <f t="shared" si="97"/>
        <v/>
      </c>
      <c r="Q39" s="21" t="b">
        <f t="shared" si="98"/>
        <v>0</v>
      </c>
      <c r="R39" s="21" t="str">
        <f t="shared" si="99"/>
        <v/>
      </c>
      <c r="S39" s="21" t="b">
        <f t="shared" ref="S39:S55" si="137">+AND($C39=2,$D39=2)</f>
        <v>0</v>
      </c>
      <c r="T39" s="21" t="str">
        <f t="shared" si="100"/>
        <v/>
      </c>
      <c r="U39" s="21" t="b">
        <f t="shared" si="101"/>
        <v>0</v>
      </c>
      <c r="V39" s="21" t="str">
        <f t="shared" si="102"/>
        <v/>
      </c>
      <c r="W39" s="21" t="b">
        <f t="shared" si="103"/>
        <v>0</v>
      </c>
      <c r="X39" s="21" t="str">
        <f t="shared" si="104"/>
        <v/>
      </c>
      <c r="Y39" s="21" t="b">
        <f t="shared" si="105"/>
        <v>0</v>
      </c>
      <c r="Z39" s="21" t="str">
        <f t="shared" si="106"/>
        <v/>
      </c>
      <c r="AA39" s="21" t="b">
        <f t="shared" si="107"/>
        <v>0</v>
      </c>
      <c r="AB39" s="21" t="str">
        <f t="shared" si="108"/>
        <v/>
      </c>
      <c r="AC39" s="21" t="b">
        <f t="shared" si="109"/>
        <v>0</v>
      </c>
      <c r="AD39" s="21" t="str">
        <f t="shared" si="110"/>
        <v/>
      </c>
      <c r="AE39" s="21" t="b">
        <f t="shared" si="111"/>
        <v>0</v>
      </c>
      <c r="AF39" s="21" t="str">
        <f t="shared" si="112"/>
        <v/>
      </c>
      <c r="AG39" s="21" t="b">
        <f t="shared" si="113"/>
        <v>0</v>
      </c>
      <c r="AH39" s="21" t="str">
        <f t="shared" si="114"/>
        <v/>
      </c>
      <c r="AI39" s="21" t="b">
        <f t="shared" si="134"/>
        <v>0</v>
      </c>
      <c r="AJ39" s="21" t="str">
        <f t="shared" si="115"/>
        <v/>
      </c>
      <c r="AK39" s="21" t="b">
        <f t="shared" si="135"/>
        <v>0</v>
      </c>
      <c r="AL39" s="21" t="str">
        <f t="shared" si="116"/>
        <v/>
      </c>
      <c r="AM39" s="21" t="b">
        <f t="shared" si="117"/>
        <v>0</v>
      </c>
      <c r="AN39" s="21" t="str">
        <f t="shared" si="118"/>
        <v/>
      </c>
      <c r="AO39" s="21" t="b">
        <f t="shared" ref="AO39:AO44" si="138">+AND($C39=4,$D39=3)</f>
        <v>0</v>
      </c>
      <c r="AP39" s="21" t="str">
        <f t="shared" si="136"/>
        <v/>
      </c>
      <c r="AQ39" s="21" t="b">
        <f t="shared" ref="AQ39:AQ44" si="139">+AND($C39=4,$D39=4)</f>
        <v>0</v>
      </c>
      <c r="AR39" s="21" t="str">
        <f t="shared" si="119"/>
        <v/>
      </c>
      <c r="AS39" s="21" t="b">
        <f t="shared" ref="AS39:AS44" si="140">+AND($C39=4,$D39=5)</f>
        <v>0</v>
      </c>
      <c r="AT39" s="21" t="str">
        <f t="shared" si="120"/>
        <v/>
      </c>
      <c r="AU39" s="21" t="b">
        <f t="shared" si="121"/>
        <v>0</v>
      </c>
      <c r="AV39" s="21" t="str">
        <f t="shared" si="122"/>
        <v/>
      </c>
      <c r="AW39" s="21" t="b">
        <f t="shared" si="123"/>
        <v>0</v>
      </c>
      <c r="AX39" s="21" t="str">
        <f t="shared" si="124"/>
        <v/>
      </c>
      <c r="AY39" s="21" t="b">
        <f t="shared" si="125"/>
        <v>0</v>
      </c>
      <c r="AZ39" s="21" t="str">
        <f t="shared" si="126"/>
        <v/>
      </c>
      <c r="BA39" s="21" t="b">
        <f t="shared" si="127"/>
        <v>0</v>
      </c>
      <c r="BB39" s="21" t="str">
        <f t="shared" si="128"/>
        <v/>
      </c>
      <c r="BC39" s="21" t="b">
        <f t="shared" si="129"/>
        <v>0</v>
      </c>
      <c r="BD39" s="21" t="str">
        <f t="shared" si="130"/>
        <v/>
      </c>
    </row>
    <row r="40" spans="1:56" hidden="1" x14ac:dyDescent="0.25">
      <c r="A40" s="63">
        <f t="shared" si="91"/>
        <v>6</v>
      </c>
      <c r="C40" s="77">
        <f>+ROUNDDOWN('RIESGO RESIDUAL'!J8,0)</f>
        <v>2</v>
      </c>
      <c r="D40" s="77">
        <f>+ROUNDDOWN('RIESGO RESIDUAL'!K8,0)</f>
        <v>2</v>
      </c>
      <c r="G40" s="21" t="b">
        <f t="shared" si="92"/>
        <v>0</v>
      </c>
      <c r="H40" s="21" t="str">
        <f t="shared" si="131"/>
        <v/>
      </c>
      <c r="I40" s="21" t="b">
        <f t="shared" si="132"/>
        <v>0</v>
      </c>
      <c r="J40" s="21" t="str">
        <f t="shared" si="93"/>
        <v/>
      </c>
      <c r="K40" s="21" t="b">
        <f t="shared" si="94"/>
        <v>0</v>
      </c>
      <c r="L40" s="21" t="str">
        <f t="shared" si="133"/>
        <v/>
      </c>
      <c r="M40" s="21" t="b">
        <f t="shared" si="95"/>
        <v>0</v>
      </c>
      <c r="N40" s="21" t="str">
        <f t="shared" si="133"/>
        <v/>
      </c>
      <c r="O40" s="21" t="b">
        <f t="shared" si="96"/>
        <v>0</v>
      </c>
      <c r="P40" s="21" t="str">
        <f t="shared" si="97"/>
        <v/>
      </c>
      <c r="Q40" s="21" t="b">
        <f t="shared" si="98"/>
        <v>0</v>
      </c>
      <c r="R40" s="21" t="str">
        <f t="shared" si="99"/>
        <v/>
      </c>
      <c r="S40" s="21" t="b">
        <f t="shared" si="137"/>
        <v>1</v>
      </c>
      <c r="T40" s="21" t="str">
        <f t="shared" si="100"/>
        <v xml:space="preserve"> R6</v>
      </c>
      <c r="U40" s="21" t="b">
        <f t="shared" si="101"/>
        <v>0</v>
      </c>
      <c r="V40" s="21" t="str">
        <f t="shared" si="102"/>
        <v/>
      </c>
      <c r="W40" s="21" t="b">
        <f t="shared" si="103"/>
        <v>0</v>
      </c>
      <c r="X40" s="21" t="str">
        <f t="shared" si="104"/>
        <v/>
      </c>
      <c r="Y40" s="21" t="b">
        <f t="shared" si="105"/>
        <v>0</v>
      </c>
      <c r="Z40" s="21" t="str">
        <f t="shared" si="106"/>
        <v/>
      </c>
      <c r="AA40" s="21" t="b">
        <f t="shared" si="107"/>
        <v>0</v>
      </c>
      <c r="AB40" s="21" t="str">
        <f t="shared" si="108"/>
        <v/>
      </c>
      <c r="AC40" s="21" t="b">
        <f t="shared" si="109"/>
        <v>0</v>
      </c>
      <c r="AD40" s="21" t="str">
        <f t="shared" si="110"/>
        <v/>
      </c>
      <c r="AE40" s="21" t="b">
        <f t="shared" si="111"/>
        <v>0</v>
      </c>
      <c r="AF40" s="21" t="str">
        <f t="shared" si="112"/>
        <v/>
      </c>
      <c r="AG40" s="21" t="b">
        <f t="shared" si="113"/>
        <v>0</v>
      </c>
      <c r="AH40" s="21" t="str">
        <f t="shared" si="114"/>
        <v/>
      </c>
      <c r="AI40" s="21" t="b">
        <f t="shared" si="134"/>
        <v>0</v>
      </c>
      <c r="AJ40" s="21" t="str">
        <f t="shared" si="115"/>
        <v/>
      </c>
      <c r="AK40" s="21" t="b">
        <f t="shared" si="135"/>
        <v>0</v>
      </c>
      <c r="AL40" s="21" t="str">
        <f t="shared" si="116"/>
        <v/>
      </c>
      <c r="AM40" s="21" t="b">
        <f t="shared" si="117"/>
        <v>0</v>
      </c>
      <c r="AN40" s="21" t="str">
        <f t="shared" si="118"/>
        <v/>
      </c>
      <c r="AO40" s="21" t="b">
        <f t="shared" si="138"/>
        <v>0</v>
      </c>
      <c r="AP40" s="21" t="str">
        <f t="shared" si="136"/>
        <v/>
      </c>
      <c r="AQ40" s="21" t="b">
        <f t="shared" si="139"/>
        <v>0</v>
      </c>
      <c r="AR40" s="21" t="str">
        <f t="shared" si="119"/>
        <v/>
      </c>
      <c r="AS40" s="21" t="b">
        <f t="shared" si="140"/>
        <v>0</v>
      </c>
      <c r="AT40" s="21" t="str">
        <f t="shared" si="120"/>
        <v/>
      </c>
      <c r="AU40" s="21" t="b">
        <f t="shared" si="121"/>
        <v>0</v>
      </c>
      <c r="AV40" s="21" t="str">
        <f t="shared" si="122"/>
        <v/>
      </c>
      <c r="AW40" s="21" t="b">
        <f t="shared" si="123"/>
        <v>0</v>
      </c>
      <c r="AX40" s="21" t="str">
        <f t="shared" si="124"/>
        <v/>
      </c>
      <c r="AY40" s="21" t="b">
        <f t="shared" si="125"/>
        <v>0</v>
      </c>
      <c r="AZ40" s="21" t="str">
        <f t="shared" si="126"/>
        <v/>
      </c>
      <c r="BA40" s="21" t="b">
        <f t="shared" si="127"/>
        <v>0</v>
      </c>
      <c r="BB40" s="21" t="str">
        <f t="shared" si="128"/>
        <v/>
      </c>
      <c r="BC40" s="21" t="b">
        <f t="shared" si="129"/>
        <v>0</v>
      </c>
      <c r="BD40" s="21" t="str">
        <f t="shared" si="130"/>
        <v/>
      </c>
    </row>
    <row r="41" spans="1:56" hidden="1" x14ac:dyDescent="0.25">
      <c r="A41" s="63">
        <f t="shared" si="91"/>
        <v>7</v>
      </c>
      <c r="C41" s="77">
        <f>+ROUNDDOWN('RIESGO RESIDUAL'!J9,0)</f>
        <v>1</v>
      </c>
      <c r="D41" s="77">
        <f>+ROUNDDOWN('RIESGO RESIDUAL'!K9,0)</f>
        <v>1</v>
      </c>
      <c r="G41" s="21" t="b">
        <f t="shared" si="92"/>
        <v>1</v>
      </c>
      <c r="H41" s="21" t="str">
        <f t="shared" si="131"/>
        <v xml:space="preserve"> R7</v>
      </c>
      <c r="I41" s="21" t="b">
        <f t="shared" si="132"/>
        <v>0</v>
      </c>
      <c r="J41" s="21" t="str">
        <f t="shared" si="93"/>
        <v/>
      </c>
      <c r="K41" s="21" t="b">
        <f t="shared" si="94"/>
        <v>0</v>
      </c>
      <c r="L41" s="21" t="str">
        <f t="shared" si="133"/>
        <v/>
      </c>
      <c r="M41" s="21" t="b">
        <f t="shared" si="95"/>
        <v>0</v>
      </c>
      <c r="N41" s="21" t="str">
        <f t="shared" si="133"/>
        <v/>
      </c>
      <c r="O41" s="21" t="b">
        <f t="shared" si="96"/>
        <v>0</v>
      </c>
      <c r="P41" s="21" t="str">
        <f t="shared" si="97"/>
        <v/>
      </c>
      <c r="Q41" s="21" t="b">
        <f t="shared" si="98"/>
        <v>0</v>
      </c>
      <c r="R41" s="21" t="str">
        <f t="shared" si="99"/>
        <v/>
      </c>
      <c r="S41" s="21" t="b">
        <f t="shared" si="137"/>
        <v>0</v>
      </c>
      <c r="T41" s="21" t="str">
        <f t="shared" si="100"/>
        <v/>
      </c>
      <c r="U41" s="21" t="b">
        <f t="shared" si="101"/>
        <v>0</v>
      </c>
      <c r="V41" s="21" t="str">
        <f t="shared" si="102"/>
        <v/>
      </c>
      <c r="W41" s="21" t="b">
        <f t="shared" si="103"/>
        <v>0</v>
      </c>
      <c r="X41" s="21" t="str">
        <f t="shared" si="104"/>
        <v/>
      </c>
      <c r="Y41" s="21" t="b">
        <f t="shared" si="105"/>
        <v>0</v>
      </c>
      <c r="Z41" s="21" t="str">
        <f t="shared" si="106"/>
        <v/>
      </c>
      <c r="AA41" s="21" t="b">
        <f t="shared" si="107"/>
        <v>0</v>
      </c>
      <c r="AB41" s="21" t="str">
        <f t="shared" si="108"/>
        <v/>
      </c>
      <c r="AC41" s="21" t="b">
        <f t="shared" si="109"/>
        <v>0</v>
      </c>
      <c r="AD41" s="21" t="str">
        <f t="shared" si="110"/>
        <v/>
      </c>
      <c r="AE41" s="21" t="b">
        <f t="shared" si="111"/>
        <v>0</v>
      </c>
      <c r="AF41" s="21" t="str">
        <f t="shared" si="112"/>
        <v/>
      </c>
      <c r="AG41" s="21" t="b">
        <f t="shared" si="113"/>
        <v>0</v>
      </c>
      <c r="AH41" s="21" t="str">
        <f t="shared" si="114"/>
        <v/>
      </c>
      <c r="AI41" s="21" t="b">
        <f t="shared" si="134"/>
        <v>0</v>
      </c>
      <c r="AJ41" s="21" t="str">
        <f t="shared" si="115"/>
        <v/>
      </c>
      <c r="AK41" s="21" t="b">
        <f t="shared" si="135"/>
        <v>0</v>
      </c>
      <c r="AL41" s="21" t="str">
        <f t="shared" si="116"/>
        <v/>
      </c>
      <c r="AM41" s="21" t="b">
        <f t="shared" si="117"/>
        <v>0</v>
      </c>
      <c r="AN41" s="21" t="str">
        <f t="shared" si="118"/>
        <v/>
      </c>
      <c r="AO41" s="21" t="b">
        <f t="shared" si="138"/>
        <v>0</v>
      </c>
      <c r="AP41" s="21" t="str">
        <f t="shared" si="136"/>
        <v/>
      </c>
      <c r="AQ41" s="21" t="b">
        <f t="shared" si="139"/>
        <v>0</v>
      </c>
      <c r="AR41" s="21" t="str">
        <f t="shared" si="119"/>
        <v/>
      </c>
      <c r="AS41" s="21" t="b">
        <f t="shared" si="140"/>
        <v>0</v>
      </c>
      <c r="AT41" s="21" t="str">
        <f t="shared" si="120"/>
        <v/>
      </c>
      <c r="AU41" s="21" t="b">
        <f t="shared" si="121"/>
        <v>0</v>
      </c>
      <c r="AV41" s="21" t="str">
        <f t="shared" si="122"/>
        <v/>
      </c>
      <c r="AW41" s="21" t="b">
        <f t="shared" si="123"/>
        <v>0</v>
      </c>
      <c r="AX41" s="21" t="str">
        <f t="shared" si="124"/>
        <v/>
      </c>
      <c r="AY41" s="21" t="b">
        <f t="shared" si="125"/>
        <v>0</v>
      </c>
      <c r="AZ41" s="21" t="str">
        <f t="shared" si="126"/>
        <v/>
      </c>
      <c r="BA41" s="21" t="b">
        <f t="shared" si="127"/>
        <v>0</v>
      </c>
      <c r="BB41" s="21" t="str">
        <f t="shared" si="128"/>
        <v/>
      </c>
      <c r="BC41" s="21" t="b">
        <f t="shared" si="129"/>
        <v>0</v>
      </c>
      <c r="BD41" s="21" t="str">
        <f t="shared" si="130"/>
        <v/>
      </c>
    </row>
    <row r="42" spans="1:56" hidden="1" x14ac:dyDescent="0.25">
      <c r="A42" s="63">
        <f t="shared" si="91"/>
        <v>8</v>
      </c>
      <c r="C42" s="77">
        <f>+ROUNDDOWN('RIESGO RESIDUAL'!J10,0)</f>
        <v>1</v>
      </c>
      <c r="D42" s="77">
        <f>+ROUNDDOWN('RIESGO RESIDUAL'!K10,0)</f>
        <v>1</v>
      </c>
      <c r="G42" s="21" t="b">
        <f t="shared" si="92"/>
        <v>1</v>
      </c>
      <c r="H42" s="21" t="str">
        <f t="shared" si="131"/>
        <v xml:space="preserve"> R8</v>
      </c>
      <c r="I42" s="21" t="b">
        <f t="shared" si="132"/>
        <v>0</v>
      </c>
      <c r="J42" s="21" t="str">
        <f t="shared" si="93"/>
        <v/>
      </c>
      <c r="K42" s="21" t="b">
        <f t="shared" si="94"/>
        <v>0</v>
      </c>
      <c r="L42" s="21" t="str">
        <f t="shared" si="133"/>
        <v/>
      </c>
      <c r="M42" s="21" t="b">
        <f t="shared" si="95"/>
        <v>0</v>
      </c>
      <c r="N42" s="21" t="str">
        <f t="shared" si="133"/>
        <v/>
      </c>
      <c r="O42" s="21" t="b">
        <f t="shared" si="96"/>
        <v>0</v>
      </c>
      <c r="P42" s="21" t="str">
        <f t="shared" si="97"/>
        <v/>
      </c>
      <c r="Q42" s="21" t="b">
        <f t="shared" si="98"/>
        <v>0</v>
      </c>
      <c r="R42" s="21" t="str">
        <f t="shared" si="99"/>
        <v/>
      </c>
      <c r="S42" s="21" t="b">
        <f t="shared" si="137"/>
        <v>0</v>
      </c>
      <c r="T42" s="21" t="str">
        <f t="shared" si="100"/>
        <v/>
      </c>
      <c r="U42" s="21" t="b">
        <f t="shared" si="101"/>
        <v>0</v>
      </c>
      <c r="V42" s="21" t="str">
        <f t="shared" si="102"/>
        <v/>
      </c>
      <c r="W42" s="21" t="b">
        <f t="shared" si="103"/>
        <v>0</v>
      </c>
      <c r="X42" s="21" t="str">
        <f t="shared" si="104"/>
        <v/>
      </c>
      <c r="Y42" s="21" t="b">
        <f t="shared" si="105"/>
        <v>0</v>
      </c>
      <c r="Z42" s="21" t="str">
        <f t="shared" si="106"/>
        <v/>
      </c>
      <c r="AA42" s="21" t="b">
        <f t="shared" si="107"/>
        <v>0</v>
      </c>
      <c r="AB42" s="21" t="str">
        <f t="shared" si="108"/>
        <v/>
      </c>
      <c r="AC42" s="21" t="b">
        <f t="shared" si="109"/>
        <v>0</v>
      </c>
      <c r="AD42" s="21" t="str">
        <f t="shared" si="110"/>
        <v/>
      </c>
      <c r="AE42" s="21" t="b">
        <f t="shared" si="111"/>
        <v>0</v>
      </c>
      <c r="AF42" s="21" t="str">
        <f t="shared" si="112"/>
        <v/>
      </c>
      <c r="AG42" s="21" t="b">
        <f t="shared" si="113"/>
        <v>0</v>
      </c>
      <c r="AH42" s="21" t="str">
        <f t="shared" si="114"/>
        <v/>
      </c>
      <c r="AI42" s="21" t="b">
        <f t="shared" si="134"/>
        <v>0</v>
      </c>
      <c r="AJ42" s="21" t="str">
        <f t="shared" si="115"/>
        <v/>
      </c>
      <c r="AK42" s="21" t="b">
        <f t="shared" si="135"/>
        <v>0</v>
      </c>
      <c r="AL42" s="21" t="str">
        <f t="shared" si="116"/>
        <v/>
      </c>
      <c r="AM42" s="21" t="b">
        <f t="shared" si="117"/>
        <v>0</v>
      </c>
      <c r="AN42" s="21" t="str">
        <f t="shared" si="118"/>
        <v/>
      </c>
      <c r="AO42" s="21" t="b">
        <f t="shared" si="138"/>
        <v>0</v>
      </c>
      <c r="AP42" s="21" t="str">
        <f t="shared" si="136"/>
        <v/>
      </c>
      <c r="AQ42" s="21" t="b">
        <f t="shared" si="139"/>
        <v>0</v>
      </c>
      <c r="AR42" s="21" t="str">
        <f t="shared" si="119"/>
        <v/>
      </c>
      <c r="AS42" s="21" t="b">
        <f t="shared" si="140"/>
        <v>0</v>
      </c>
      <c r="AT42" s="21" t="str">
        <f t="shared" si="120"/>
        <v/>
      </c>
      <c r="AU42" s="21" t="b">
        <f t="shared" si="121"/>
        <v>0</v>
      </c>
      <c r="AV42" s="21" t="str">
        <f t="shared" si="122"/>
        <v/>
      </c>
      <c r="AW42" s="21" t="b">
        <f t="shared" si="123"/>
        <v>0</v>
      </c>
      <c r="AX42" s="21" t="str">
        <f t="shared" si="124"/>
        <v/>
      </c>
      <c r="AY42" s="21" t="b">
        <f t="shared" si="125"/>
        <v>0</v>
      </c>
      <c r="AZ42" s="21" t="str">
        <f t="shared" si="126"/>
        <v/>
      </c>
      <c r="BA42" s="21" t="b">
        <f t="shared" si="127"/>
        <v>0</v>
      </c>
      <c r="BB42" s="21" t="str">
        <f t="shared" si="128"/>
        <v/>
      </c>
      <c r="BC42" s="21" t="b">
        <f t="shared" si="129"/>
        <v>0</v>
      </c>
      <c r="BD42" s="21" t="str">
        <f t="shared" si="130"/>
        <v/>
      </c>
    </row>
    <row r="43" spans="1:56" hidden="1" x14ac:dyDescent="0.25">
      <c r="A43" s="63">
        <f t="shared" si="91"/>
        <v>9</v>
      </c>
      <c r="C43" s="77">
        <f>+ROUNDDOWN('RIESGO RESIDUAL'!J11,0)</f>
        <v>1</v>
      </c>
      <c r="D43" s="77">
        <f>+ROUNDDOWN('RIESGO RESIDUAL'!K11,0)</f>
        <v>1</v>
      </c>
      <c r="G43" s="21" t="b">
        <f t="shared" si="92"/>
        <v>1</v>
      </c>
      <c r="H43" s="21" t="str">
        <f t="shared" si="131"/>
        <v xml:space="preserve"> R9</v>
      </c>
      <c r="I43" s="21" t="b">
        <f t="shared" si="132"/>
        <v>0</v>
      </c>
      <c r="J43" s="21" t="str">
        <f t="shared" si="93"/>
        <v/>
      </c>
      <c r="K43" s="21" t="b">
        <f t="shared" si="94"/>
        <v>0</v>
      </c>
      <c r="L43" s="21" t="str">
        <f t="shared" si="133"/>
        <v/>
      </c>
      <c r="M43" s="21" t="b">
        <f t="shared" si="95"/>
        <v>0</v>
      </c>
      <c r="N43" s="21" t="str">
        <f t="shared" si="133"/>
        <v/>
      </c>
      <c r="O43" s="21" t="b">
        <f t="shared" si="96"/>
        <v>0</v>
      </c>
      <c r="P43" s="21" t="str">
        <f t="shared" si="97"/>
        <v/>
      </c>
      <c r="Q43" s="21" t="b">
        <f t="shared" si="98"/>
        <v>0</v>
      </c>
      <c r="R43" s="21" t="str">
        <f t="shared" si="99"/>
        <v/>
      </c>
      <c r="S43" s="21" t="b">
        <f t="shared" si="137"/>
        <v>0</v>
      </c>
      <c r="T43" s="21" t="str">
        <f t="shared" si="100"/>
        <v/>
      </c>
      <c r="U43" s="21" t="b">
        <f t="shared" si="101"/>
        <v>0</v>
      </c>
      <c r="V43" s="21" t="str">
        <f t="shared" si="102"/>
        <v/>
      </c>
      <c r="W43" s="21" t="b">
        <f t="shared" si="103"/>
        <v>0</v>
      </c>
      <c r="X43" s="21" t="str">
        <f t="shared" si="104"/>
        <v/>
      </c>
      <c r="Y43" s="21" t="b">
        <f t="shared" si="105"/>
        <v>0</v>
      </c>
      <c r="Z43" s="21" t="str">
        <f t="shared" si="106"/>
        <v/>
      </c>
      <c r="AA43" s="21" t="b">
        <f t="shared" si="107"/>
        <v>0</v>
      </c>
      <c r="AB43" s="21" t="str">
        <f t="shared" si="108"/>
        <v/>
      </c>
      <c r="AC43" s="21" t="b">
        <f t="shared" si="109"/>
        <v>0</v>
      </c>
      <c r="AD43" s="21" t="str">
        <f t="shared" si="110"/>
        <v/>
      </c>
      <c r="AE43" s="21" t="b">
        <f t="shared" si="111"/>
        <v>0</v>
      </c>
      <c r="AF43" s="21" t="str">
        <f t="shared" si="112"/>
        <v/>
      </c>
      <c r="AG43" s="21" t="b">
        <f t="shared" si="113"/>
        <v>0</v>
      </c>
      <c r="AH43" s="21" t="str">
        <f t="shared" si="114"/>
        <v/>
      </c>
      <c r="AI43" s="21" t="b">
        <f t="shared" si="134"/>
        <v>0</v>
      </c>
      <c r="AJ43" s="21" t="str">
        <f t="shared" si="115"/>
        <v/>
      </c>
      <c r="AK43" s="21" t="b">
        <f t="shared" si="135"/>
        <v>0</v>
      </c>
      <c r="AL43" s="21" t="str">
        <f t="shared" si="116"/>
        <v/>
      </c>
      <c r="AM43" s="21" t="b">
        <f t="shared" si="117"/>
        <v>0</v>
      </c>
      <c r="AN43" s="21" t="str">
        <f t="shared" si="118"/>
        <v/>
      </c>
      <c r="AO43" s="21" t="b">
        <f t="shared" si="138"/>
        <v>0</v>
      </c>
      <c r="AP43" s="21" t="str">
        <f t="shared" si="136"/>
        <v/>
      </c>
      <c r="AQ43" s="21" t="b">
        <f t="shared" si="139"/>
        <v>0</v>
      </c>
      <c r="AR43" s="21" t="str">
        <f t="shared" si="119"/>
        <v/>
      </c>
      <c r="AS43" s="21" t="b">
        <f t="shared" si="140"/>
        <v>0</v>
      </c>
      <c r="AT43" s="21" t="str">
        <f t="shared" si="120"/>
        <v/>
      </c>
      <c r="AU43" s="21" t="b">
        <f t="shared" si="121"/>
        <v>0</v>
      </c>
      <c r="AV43" s="21" t="str">
        <f t="shared" si="122"/>
        <v/>
      </c>
      <c r="AW43" s="21" t="b">
        <f t="shared" si="123"/>
        <v>0</v>
      </c>
      <c r="AX43" s="21" t="str">
        <f t="shared" si="124"/>
        <v/>
      </c>
      <c r="AY43" s="21" t="b">
        <f t="shared" si="125"/>
        <v>0</v>
      </c>
      <c r="AZ43" s="21" t="str">
        <f t="shared" si="126"/>
        <v/>
      </c>
      <c r="BA43" s="21" t="b">
        <f t="shared" si="127"/>
        <v>0</v>
      </c>
      <c r="BB43" s="21" t="str">
        <f t="shared" si="128"/>
        <v/>
      </c>
      <c r="BC43" s="21" t="b">
        <f t="shared" si="129"/>
        <v>0</v>
      </c>
      <c r="BD43" s="21" t="str">
        <f t="shared" si="130"/>
        <v/>
      </c>
    </row>
    <row r="44" spans="1:56" hidden="1" x14ac:dyDescent="0.25">
      <c r="A44" s="63">
        <f t="shared" si="91"/>
        <v>10</v>
      </c>
      <c r="C44" s="77">
        <f>+ROUNDDOWN('RIESGO RESIDUAL'!J12,0)</f>
        <v>1</v>
      </c>
      <c r="D44" s="77">
        <f>+ROUNDDOWN('RIESGO RESIDUAL'!K12,0)</f>
        <v>1</v>
      </c>
      <c r="G44" s="21" t="b">
        <f t="shared" si="92"/>
        <v>1</v>
      </c>
      <c r="H44" s="21" t="str">
        <f t="shared" si="131"/>
        <v xml:space="preserve"> R10</v>
      </c>
      <c r="I44" s="21" t="b">
        <f t="shared" si="132"/>
        <v>0</v>
      </c>
      <c r="J44" s="21" t="str">
        <f t="shared" si="93"/>
        <v/>
      </c>
      <c r="K44" s="21" t="b">
        <f t="shared" si="94"/>
        <v>0</v>
      </c>
      <c r="L44" s="21" t="str">
        <f t="shared" si="133"/>
        <v/>
      </c>
      <c r="M44" s="21" t="b">
        <f t="shared" si="95"/>
        <v>0</v>
      </c>
      <c r="N44" s="21" t="str">
        <f t="shared" si="133"/>
        <v/>
      </c>
      <c r="O44" s="21" t="b">
        <f t="shared" si="96"/>
        <v>0</v>
      </c>
      <c r="P44" s="21" t="str">
        <f t="shared" si="97"/>
        <v/>
      </c>
      <c r="Q44" s="21" t="b">
        <f t="shared" si="98"/>
        <v>0</v>
      </c>
      <c r="R44" s="21" t="str">
        <f t="shared" si="99"/>
        <v/>
      </c>
      <c r="S44" s="21" t="b">
        <f t="shared" si="137"/>
        <v>0</v>
      </c>
      <c r="T44" s="21" t="str">
        <f t="shared" si="100"/>
        <v/>
      </c>
      <c r="U44" s="21" t="b">
        <f t="shared" si="101"/>
        <v>0</v>
      </c>
      <c r="V44" s="21" t="str">
        <f t="shared" si="102"/>
        <v/>
      </c>
      <c r="W44" s="21" t="b">
        <f t="shared" si="103"/>
        <v>0</v>
      </c>
      <c r="X44" s="21" t="str">
        <f t="shared" si="104"/>
        <v/>
      </c>
      <c r="Y44" s="21" t="b">
        <f t="shared" si="105"/>
        <v>0</v>
      </c>
      <c r="Z44" s="21" t="str">
        <f t="shared" si="106"/>
        <v/>
      </c>
      <c r="AA44" s="21" t="b">
        <f t="shared" si="107"/>
        <v>0</v>
      </c>
      <c r="AB44" s="21" t="str">
        <f t="shared" si="108"/>
        <v/>
      </c>
      <c r="AC44" s="21" t="b">
        <f t="shared" si="109"/>
        <v>0</v>
      </c>
      <c r="AD44" s="21" t="str">
        <f t="shared" si="110"/>
        <v/>
      </c>
      <c r="AE44" s="21" t="b">
        <f t="shared" si="111"/>
        <v>0</v>
      </c>
      <c r="AF44" s="21" t="str">
        <f t="shared" si="112"/>
        <v/>
      </c>
      <c r="AG44" s="21" t="b">
        <f t="shared" si="113"/>
        <v>0</v>
      </c>
      <c r="AH44" s="21" t="str">
        <f t="shared" si="114"/>
        <v/>
      </c>
      <c r="AI44" s="21" t="b">
        <f t="shared" si="134"/>
        <v>0</v>
      </c>
      <c r="AJ44" s="21" t="str">
        <f t="shared" si="115"/>
        <v/>
      </c>
      <c r="AK44" s="21" t="b">
        <f t="shared" si="135"/>
        <v>0</v>
      </c>
      <c r="AL44" s="21" t="str">
        <f t="shared" si="116"/>
        <v/>
      </c>
      <c r="AM44" s="21" t="b">
        <f t="shared" si="117"/>
        <v>0</v>
      </c>
      <c r="AN44" s="21" t="str">
        <f t="shared" si="118"/>
        <v/>
      </c>
      <c r="AO44" s="21" t="b">
        <f t="shared" si="138"/>
        <v>0</v>
      </c>
      <c r="AP44" s="21" t="str">
        <f t="shared" si="136"/>
        <v/>
      </c>
      <c r="AQ44" s="21" t="b">
        <f t="shared" si="139"/>
        <v>0</v>
      </c>
      <c r="AR44" s="21" t="str">
        <f t="shared" si="119"/>
        <v/>
      </c>
      <c r="AS44" s="21" t="b">
        <f t="shared" si="140"/>
        <v>0</v>
      </c>
      <c r="AT44" s="21" t="str">
        <f t="shared" si="120"/>
        <v/>
      </c>
      <c r="AU44" s="21" t="b">
        <f t="shared" si="121"/>
        <v>0</v>
      </c>
      <c r="AV44" s="21" t="str">
        <f t="shared" si="122"/>
        <v/>
      </c>
      <c r="AW44" s="21" t="b">
        <f t="shared" si="123"/>
        <v>0</v>
      </c>
      <c r="AX44" s="21" t="str">
        <f t="shared" si="124"/>
        <v/>
      </c>
      <c r="AY44" s="21" t="b">
        <f t="shared" si="125"/>
        <v>0</v>
      </c>
      <c r="AZ44" s="21" t="str">
        <f t="shared" si="126"/>
        <v/>
      </c>
      <c r="BA44" s="21" t="b">
        <f t="shared" si="127"/>
        <v>0</v>
      </c>
      <c r="BB44" s="21" t="str">
        <f t="shared" si="128"/>
        <v/>
      </c>
      <c r="BC44" s="21" t="b">
        <f t="shared" si="129"/>
        <v>0</v>
      </c>
      <c r="BD44" s="21" t="str">
        <f t="shared" si="130"/>
        <v/>
      </c>
    </row>
    <row r="45" spans="1:56" hidden="1" x14ac:dyDescent="0.25">
      <c r="A45" s="63">
        <f t="shared" si="91"/>
        <v>11</v>
      </c>
      <c r="C45" s="77">
        <f>+ROUNDDOWN('RIESGO RESIDUAL'!J13,0)</f>
        <v>1</v>
      </c>
      <c r="D45" s="77">
        <f>+ROUNDDOWN('RIESGO RESIDUAL'!K13,0)</f>
        <v>1</v>
      </c>
      <c r="G45" s="21" t="b">
        <f t="shared" si="92"/>
        <v>1</v>
      </c>
      <c r="H45" s="21" t="str">
        <f t="shared" si="131"/>
        <v xml:space="preserve"> R11</v>
      </c>
      <c r="I45" s="21" t="b">
        <f t="shared" si="132"/>
        <v>0</v>
      </c>
      <c r="J45" s="21" t="str">
        <f t="shared" si="93"/>
        <v/>
      </c>
      <c r="K45" s="21" t="b">
        <f t="shared" si="94"/>
        <v>0</v>
      </c>
      <c r="L45" s="21" t="str">
        <f t="shared" si="133"/>
        <v/>
      </c>
      <c r="M45" s="21" t="b">
        <f t="shared" si="95"/>
        <v>0</v>
      </c>
      <c r="N45" s="21" t="str">
        <f t="shared" si="133"/>
        <v/>
      </c>
      <c r="O45" s="21" t="b">
        <f t="shared" si="96"/>
        <v>0</v>
      </c>
      <c r="P45" s="21" t="str">
        <f t="shared" si="97"/>
        <v/>
      </c>
      <c r="Q45" s="21" t="b">
        <f t="shared" si="98"/>
        <v>0</v>
      </c>
      <c r="R45" s="21" t="str">
        <f t="shared" si="99"/>
        <v/>
      </c>
      <c r="S45" s="21" t="b">
        <f t="shared" si="137"/>
        <v>0</v>
      </c>
      <c r="T45" s="21" t="str">
        <f t="shared" si="100"/>
        <v/>
      </c>
      <c r="U45" s="21" t="b">
        <f t="shared" si="101"/>
        <v>0</v>
      </c>
      <c r="V45" s="21" t="str">
        <f t="shared" si="102"/>
        <v/>
      </c>
      <c r="W45" s="21" t="b">
        <f t="shared" si="103"/>
        <v>0</v>
      </c>
      <c r="X45" s="21" t="str">
        <f t="shared" si="104"/>
        <v/>
      </c>
      <c r="Y45" s="21" t="b">
        <f t="shared" si="105"/>
        <v>0</v>
      </c>
      <c r="Z45" s="21" t="str">
        <f t="shared" si="106"/>
        <v/>
      </c>
      <c r="AA45" s="21" t="b">
        <f>+AND($C46=3,$D46=1)</f>
        <v>0</v>
      </c>
      <c r="AB45" s="21" t="str">
        <f t="shared" si="108"/>
        <v/>
      </c>
      <c r="AC45" s="21" t="b">
        <f>+AND($C46=3,$D46=2)</f>
        <v>0</v>
      </c>
      <c r="AD45" s="21" t="str">
        <f t="shared" si="110"/>
        <v/>
      </c>
      <c r="AE45" s="21" t="b">
        <f>+AND($C46=3,$D46=3)</f>
        <v>0</v>
      </c>
      <c r="AF45" s="21" t="str">
        <f t="shared" si="112"/>
        <v/>
      </c>
      <c r="AG45" s="21" t="b">
        <f t="shared" si="113"/>
        <v>0</v>
      </c>
      <c r="AH45" s="21" t="str">
        <f t="shared" si="114"/>
        <v/>
      </c>
      <c r="AI45" s="21" t="b">
        <f>+AND($C46=3,$D46=5)</f>
        <v>0</v>
      </c>
      <c r="AJ45" s="21" t="str">
        <f t="shared" si="115"/>
        <v/>
      </c>
      <c r="AK45" s="21" t="b">
        <f>+AND($C46=4,$D46=1)</f>
        <v>0</v>
      </c>
      <c r="AL45" s="21" t="str">
        <f t="shared" si="116"/>
        <v/>
      </c>
      <c r="AM45" s="21" t="b">
        <f>+AND($C46=4,$D46=2)</f>
        <v>0</v>
      </c>
      <c r="AN45" s="21" t="str">
        <f t="shared" si="118"/>
        <v/>
      </c>
      <c r="AO45" s="21" t="b">
        <f>+AND($C46=4,$D46=3)</f>
        <v>0</v>
      </c>
      <c r="AP45" s="21" t="str">
        <f t="shared" si="136"/>
        <v/>
      </c>
      <c r="AQ45" s="21" t="b">
        <f>+AND($C46=4,$D46=4)</f>
        <v>0</v>
      </c>
      <c r="AR45" s="21" t="str">
        <f t="shared" si="119"/>
        <v/>
      </c>
      <c r="AS45" s="21" t="b">
        <f>+AND($C46=4,$D46=5)</f>
        <v>0</v>
      </c>
      <c r="AT45" s="21" t="str">
        <f t="shared" si="120"/>
        <v/>
      </c>
      <c r="AU45" s="21" t="b">
        <f>+AND($C46=5,$D46=1)</f>
        <v>0</v>
      </c>
      <c r="AV45" s="21" t="str">
        <f t="shared" si="122"/>
        <v/>
      </c>
      <c r="AW45" s="21" t="b">
        <f>+AND($C46=5,$D46=2)</f>
        <v>0</v>
      </c>
      <c r="AX45" s="21" t="str">
        <f t="shared" si="124"/>
        <v/>
      </c>
      <c r="AY45" s="21" t="b">
        <f>+AND($C46=5,$D46=3)</f>
        <v>0</v>
      </c>
      <c r="AZ45" s="21" t="str">
        <f t="shared" si="126"/>
        <v/>
      </c>
      <c r="BA45" s="21" t="b">
        <f>+AND($C46=5,$D46=4)</f>
        <v>0</v>
      </c>
      <c r="BB45" s="21" t="str">
        <f t="shared" si="128"/>
        <v/>
      </c>
      <c r="BC45" s="21" t="b">
        <f t="shared" si="129"/>
        <v>0</v>
      </c>
      <c r="BD45" s="21" t="str">
        <f t="shared" si="130"/>
        <v/>
      </c>
    </row>
    <row r="46" spans="1:56" hidden="1" x14ac:dyDescent="0.25">
      <c r="A46" s="63">
        <f t="shared" si="91"/>
        <v>12</v>
      </c>
      <c r="C46" s="77">
        <f>+ROUNDDOWN('RIESGO RESIDUAL'!J14,0)</f>
        <v>1</v>
      </c>
      <c r="D46" s="77">
        <f>+ROUNDDOWN('RIESGO RESIDUAL'!K14,0)</f>
        <v>1</v>
      </c>
      <c r="G46" s="21" t="b">
        <f t="shared" si="92"/>
        <v>1</v>
      </c>
      <c r="H46" s="21" t="str">
        <f t="shared" si="131"/>
        <v xml:space="preserve"> R12</v>
      </c>
      <c r="I46" s="21" t="b">
        <f t="shared" si="132"/>
        <v>0</v>
      </c>
      <c r="J46" s="21" t="str">
        <f t="shared" si="93"/>
        <v/>
      </c>
      <c r="K46" s="21" t="b">
        <f t="shared" si="94"/>
        <v>0</v>
      </c>
      <c r="L46" s="21" t="str">
        <f t="shared" si="133"/>
        <v/>
      </c>
      <c r="M46" s="21" t="b">
        <f t="shared" si="95"/>
        <v>0</v>
      </c>
      <c r="N46" s="21" t="str">
        <f t="shared" si="133"/>
        <v/>
      </c>
      <c r="O46" s="21" t="b">
        <f t="shared" si="96"/>
        <v>0</v>
      </c>
      <c r="P46" s="21" t="str">
        <f t="shared" si="97"/>
        <v/>
      </c>
      <c r="Q46" s="21" t="b">
        <f t="shared" si="98"/>
        <v>0</v>
      </c>
      <c r="R46" s="21" t="str">
        <f t="shared" si="99"/>
        <v/>
      </c>
      <c r="S46" s="21" t="b">
        <f t="shared" si="137"/>
        <v>0</v>
      </c>
      <c r="T46" s="21" t="str">
        <f t="shared" si="100"/>
        <v/>
      </c>
      <c r="U46" s="21" t="b">
        <f t="shared" si="101"/>
        <v>0</v>
      </c>
      <c r="V46" s="21" t="str">
        <f t="shared" si="102"/>
        <v/>
      </c>
      <c r="W46" s="21" t="b">
        <f t="shared" si="103"/>
        <v>0</v>
      </c>
      <c r="X46" s="21" t="str">
        <f t="shared" si="104"/>
        <v/>
      </c>
      <c r="Y46" s="21" t="b">
        <f t="shared" si="105"/>
        <v>0</v>
      </c>
      <c r="Z46" s="21" t="str">
        <f t="shared" si="106"/>
        <v/>
      </c>
      <c r="AA46" s="21" t="b">
        <f>+AND($C46=3,$D46=1)</f>
        <v>0</v>
      </c>
      <c r="AB46" s="21" t="str">
        <f t="shared" si="108"/>
        <v/>
      </c>
      <c r="AC46" s="21" t="b">
        <f>+AND($C46=3,$D46=2)</f>
        <v>0</v>
      </c>
      <c r="AD46" s="21" t="str">
        <f t="shared" si="110"/>
        <v/>
      </c>
      <c r="AE46" s="21" t="b">
        <f>+AND($C46=3,$D46=3)</f>
        <v>0</v>
      </c>
      <c r="AF46" s="21" t="str">
        <f t="shared" si="112"/>
        <v/>
      </c>
      <c r="AG46" s="21" t="b">
        <f t="shared" si="113"/>
        <v>0</v>
      </c>
      <c r="AH46" s="21" t="str">
        <f t="shared" si="114"/>
        <v/>
      </c>
      <c r="AI46" s="21" t="b">
        <f>+AND($C46=3,$D46=5)</f>
        <v>0</v>
      </c>
      <c r="AJ46" s="21" t="str">
        <f t="shared" si="115"/>
        <v/>
      </c>
      <c r="AK46" s="21" t="b">
        <f>+AND($C46=4,$D46=1)</f>
        <v>0</v>
      </c>
      <c r="AL46" s="21" t="str">
        <f t="shared" si="116"/>
        <v/>
      </c>
      <c r="AM46" s="21" t="b">
        <f>+AND($C46=4,$D46=2)</f>
        <v>0</v>
      </c>
      <c r="AN46" s="21" t="str">
        <f t="shared" si="118"/>
        <v/>
      </c>
      <c r="AO46" s="21" t="b">
        <f>+AND($C46=4,$D46=3)</f>
        <v>0</v>
      </c>
      <c r="AP46" s="21" t="str">
        <f t="shared" si="136"/>
        <v/>
      </c>
      <c r="AQ46" s="21" t="b">
        <f>+AND($C46=4,$D46=4)</f>
        <v>0</v>
      </c>
      <c r="AR46" s="21" t="str">
        <f t="shared" si="119"/>
        <v/>
      </c>
      <c r="AS46" s="21" t="b">
        <f>+AND($C46=4,$D46=5)</f>
        <v>0</v>
      </c>
      <c r="AT46" s="21" t="str">
        <f t="shared" si="120"/>
        <v/>
      </c>
      <c r="AU46" s="21" t="b">
        <f>+AND($C46=5,$D46=1)</f>
        <v>0</v>
      </c>
      <c r="AV46" s="21" t="str">
        <f t="shared" si="122"/>
        <v/>
      </c>
      <c r="AW46" s="21" t="b">
        <f>+AND($C46=5,$D46=2)</f>
        <v>0</v>
      </c>
      <c r="AX46" s="21" t="str">
        <f t="shared" si="124"/>
        <v/>
      </c>
      <c r="AY46" s="21" t="b">
        <f>+AND($C46=5,$D46=3)</f>
        <v>0</v>
      </c>
      <c r="AZ46" s="21" t="str">
        <f t="shared" si="126"/>
        <v/>
      </c>
      <c r="BA46" s="21" t="b">
        <f>+AND($C46=5,$D46=4)</f>
        <v>0</v>
      </c>
      <c r="BB46" s="21" t="str">
        <f t="shared" si="128"/>
        <v/>
      </c>
      <c r="BC46" s="21" t="b">
        <f t="shared" si="129"/>
        <v>0</v>
      </c>
      <c r="BD46" s="21" t="str">
        <f t="shared" si="130"/>
        <v/>
      </c>
    </row>
    <row r="47" spans="1:56" hidden="1" x14ac:dyDescent="0.25">
      <c r="A47" s="63">
        <f t="shared" ref="A47:A55" si="141">+A15</f>
        <v>13</v>
      </c>
      <c r="C47" s="77">
        <f>+ROUNDDOWN('RIESGO RESIDUAL'!J15,0)</f>
        <v>1</v>
      </c>
      <c r="D47" s="77">
        <f>+ROUNDDOWN('RIESGO RESIDUAL'!K15,0)</f>
        <v>1</v>
      </c>
      <c r="G47" s="21" t="b">
        <f t="shared" ref="G47:G55" si="142">+AND(C47=1,D47=1)</f>
        <v>1</v>
      </c>
      <c r="H47" s="21" t="str">
        <f t="shared" ref="H47:H55" si="143">+IF(G47," R"&amp;$A47,"")</f>
        <v xml:space="preserve"> R13</v>
      </c>
      <c r="I47" s="21" t="b">
        <f t="shared" ref="I47:I55" si="144">+AND(C47=1,D47=2)</f>
        <v>0</v>
      </c>
      <c r="J47" s="21" t="str">
        <f t="shared" ref="J47:J55" si="145">+IF(I47," R"&amp;A47,"")</f>
        <v/>
      </c>
      <c r="K47" s="21" t="b">
        <f t="shared" si="94"/>
        <v>0</v>
      </c>
      <c r="L47" s="21" t="str">
        <f t="shared" ref="L47:L55" si="146">+IF(K47," R"&amp;$A47,"")</f>
        <v/>
      </c>
      <c r="M47" s="21" t="b">
        <f t="shared" si="95"/>
        <v>0</v>
      </c>
      <c r="N47" s="21" t="str">
        <f t="shared" ref="N47:N55" si="147">+IF(M47," R"&amp;$A47,"")</f>
        <v/>
      </c>
      <c r="O47" s="21" t="b">
        <f t="shared" si="96"/>
        <v>0</v>
      </c>
      <c r="P47" s="21" t="str">
        <f t="shared" ref="P47:P55" si="148">+IF(O47," R"&amp;$A47,"")</f>
        <v/>
      </c>
      <c r="Q47" s="21" t="b">
        <f t="shared" si="98"/>
        <v>0</v>
      </c>
      <c r="R47" s="21" t="str">
        <f t="shared" ref="R47:R55" si="149">+IF(Q47," R"&amp;$A47,"")</f>
        <v/>
      </c>
      <c r="S47" s="21" t="b">
        <f t="shared" si="137"/>
        <v>0</v>
      </c>
      <c r="T47" s="21" t="str">
        <f t="shared" ref="T47:T55" si="150">+IF(S47," R"&amp;$A47,"")</f>
        <v/>
      </c>
      <c r="U47" s="21" t="b">
        <f t="shared" si="101"/>
        <v>0</v>
      </c>
      <c r="V47" s="21" t="str">
        <f t="shared" ref="V47:V55" si="151">+IF(U47," R"&amp;$A47,"")</f>
        <v/>
      </c>
      <c r="W47" s="21" t="b">
        <f t="shared" si="103"/>
        <v>0</v>
      </c>
      <c r="X47" s="21" t="str">
        <f t="shared" ref="X47:X55" si="152">+IF(W47," R"&amp;$A47,"")</f>
        <v/>
      </c>
      <c r="Y47" s="21" t="b">
        <f t="shared" si="105"/>
        <v>0</v>
      </c>
      <c r="Z47" s="21" t="str">
        <f t="shared" ref="Z47:Z55" si="153">+IF(Y47," R"&amp;$A47,"")</f>
        <v/>
      </c>
      <c r="AA47" s="21" t="b">
        <f t="shared" ref="AA47:AA55" si="154">+AND($C47=3,$D47=1)</f>
        <v>0</v>
      </c>
      <c r="AB47" s="21" t="str">
        <f t="shared" ref="AB47:AB55" si="155">+IF(AA47," R"&amp;$A47,"")</f>
        <v/>
      </c>
      <c r="AC47" s="21" t="b">
        <f t="shared" ref="AC47:AC55" si="156">+AND($C47=3,$D47=2)</f>
        <v>0</v>
      </c>
      <c r="AD47" s="21" t="str">
        <f t="shared" ref="AD47:AD55" si="157">+IF(AC47," R"&amp;$A47,"")</f>
        <v/>
      </c>
      <c r="AE47" s="21" t="b">
        <f t="shared" ref="AE47:AE55" si="158">+AND($C47=3,$D47=3)</f>
        <v>0</v>
      </c>
      <c r="AF47" s="21" t="str">
        <f t="shared" ref="AF47:AF55" si="159">+IF(AE47," R"&amp;$A47,"")</f>
        <v/>
      </c>
      <c r="AG47" s="21" t="b">
        <f t="shared" si="113"/>
        <v>0</v>
      </c>
      <c r="AH47" s="21" t="str">
        <f t="shared" ref="AH47:AH55" si="160">+IF(AG47," R"&amp;$A47,"")</f>
        <v/>
      </c>
      <c r="AI47" s="21" t="b">
        <f t="shared" ref="AI47:AI55" si="161">+AND($C47=3,$D47=5)</f>
        <v>0</v>
      </c>
      <c r="AJ47" s="21" t="str">
        <f t="shared" ref="AJ47:AJ55" si="162">+IF(AI47," R"&amp;$A47,"")</f>
        <v/>
      </c>
      <c r="AK47" s="21" t="b">
        <f t="shared" ref="AK47:AK55" si="163">+AND($C47=4,$D47=1)</f>
        <v>0</v>
      </c>
      <c r="AL47" s="21" t="str">
        <f t="shared" ref="AL47:AL55" si="164">+IF(AK47," R"&amp;$A47,"")</f>
        <v/>
      </c>
      <c r="AM47" s="21" t="b">
        <f t="shared" ref="AM47:AM55" si="165">+AND($C47=4,$D47=2)</f>
        <v>0</v>
      </c>
      <c r="AN47" s="21" t="str">
        <f t="shared" ref="AN47:AN55" si="166">+IF(AM47," R"&amp;$A47,"")</f>
        <v/>
      </c>
      <c r="AO47" s="21" t="b">
        <f t="shared" ref="AO47:AO55" si="167">+AND($C47=4,$D47=3)</f>
        <v>0</v>
      </c>
      <c r="AP47" s="21" t="str">
        <f t="shared" ref="AP47:AP55" si="168">+IF(AO47," R"&amp;$A47,"")</f>
        <v/>
      </c>
      <c r="AQ47" s="21" t="b">
        <f t="shared" ref="AQ47:AQ55" si="169">+AND($C47=4,$D47=4)</f>
        <v>0</v>
      </c>
      <c r="AR47" s="21" t="str">
        <f t="shared" ref="AR47:AR55" si="170">+IF(AQ47," R"&amp;$A47,"")</f>
        <v/>
      </c>
      <c r="AS47" s="21" t="b">
        <f t="shared" ref="AS47:AS55" si="171">+AND($C47=4,$D47=5)</f>
        <v>0</v>
      </c>
      <c r="AT47" s="21" t="str">
        <f t="shared" ref="AT47:AT55" si="172">+IF(AS47," R"&amp;$A47,"")</f>
        <v/>
      </c>
      <c r="AU47" s="21" t="b">
        <f t="shared" ref="AU47:AU55" si="173">+AND($C47=5,$D47=1)</f>
        <v>0</v>
      </c>
      <c r="AV47" s="21" t="str">
        <f t="shared" ref="AV47:AV55" si="174">+IF(AU47," R"&amp;$A47,"")</f>
        <v/>
      </c>
      <c r="AW47" s="21" t="b">
        <f t="shared" ref="AW47:AW55" si="175">+AND($C47=5,$D47=2)</f>
        <v>0</v>
      </c>
      <c r="AX47" s="21" t="str">
        <f t="shared" ref="AX47:AX55" si="176">+IF(AW47," R"&amp;$A47,"")</f>
        <v/>
      </c>
      <c r="AY47" s="21" t="b">
        <f t="shared" ref="AY47:AY55" si="177">+AND($C47=5,$D47=3)</f>
        <v>0</v>
      </c>
      <c r="AZ47" s="21" t="str">
        <f t="shared" ref="AZ47:AZ55" si="178">+IF(AY47," R"&amp;$A47,"")</f>
        <v/>
      </c>
      <c r="BA47" s="21" t="b">
        <f t="shared" ref="BA47:BA55" si="179">+AND($C47=5,$D47=4)</f>
        <v>0</v>
      </c>
      <c r="BB47" s="21" t="str">
        <f t="shared" ref="BB47:BB55" si="180">+IF(BA47," R"&amp;$A47,"")</f>
        <v/>
      </c>
      <c r="BC47" s="21" t="b">
        <f t="shared" si="129"/>
        <v>0</v>
      </c>
      <c r="BD47" s="21" t="str">
        <f t="shared" ref="BD47:BD55" si="181">+IF(BC47," R"&amp;$A47,"")</f>
        <v/>
      </c>
    </row>
    <row r="48" spans="1:56" hidden="1" x14ac:dyDescent="0.25">
      <c r="A48" s="63">
        <f t="shared" si="141"/>
        <v>14</v>
      </c>
      <c r="C48" s="77">
        <f>+ROUNDDOWN('RIESGO RESIDUAL'!J16,0)</f>
        <v>1</v>
      </c>
      <c r="D48" s="77">
        <f>+ROUNDDOWN('RIESGO RESIDUAL'!K16,0)</f>
        <v>1</v>
      </c>
      <c r="G48" s="21" t="b">
        <f t="shared" si="142"/>
        <v>1</v>
      </c>
      <c r="H48" s="21" t="str">
        <f t="shared" si="143"/>
        <v xml:space="preserve"> R14</v>
      </c>
      <c r="I48" s="21" t="b">
        <f t="shared" si="144"/>
        <v>0</v>
      </c>
      <c r="J48" s="21" t="str">
        <f t="shared" si="145"/>
        <v/>
      </c>
      <c r="K48" s="21" t="b">
        <f t="shared" si="94"/>
        <v>0</v>
      </c>
      <c r="L48" s="21" t="str">
        <f t="shared" si="146"/>
        <v/>
      </c>
      <c r="M48" s="21" t="b">
        <f t="shared" si="95"/>
        <v>0</v>
      </c>
      <c r="N48" s="21" t="str">
        <f t="shared" si="147"/>
        <v/>
      </c>
      <c r="O48" s="21" t="b">
        <f t="shared" si="96"/>
        <v>0</v>
      </c>
      <c r="P48" s="21" t="str">
        <f t="shared" si="148"/>
        <v/>
      </c>
      <c r="Q48" s="21" t="b">
        <f t="shared" si="98"/>
        <v>0</v>
      </c>
      <c r="R48" s="21" t="str">
        <f t="shared" si="149"/>
        <v/>
      </c>
      <c r="S48" s="21" t="b">
        <f t="shared" si="137"/>
        <v>0</v>
      </c>
      <c r="T48" s="21" t="str">
        <f t="shared" si="150"/>
        <v/>
      </c>
      <c r="U48" s="21" t="b">
        <f t="shared" si="101"/>
        <v>0</v>
      </c>
      <c r="V48" s="21" t="str">
        <f t="shared" si="151"/>
        <v/>
      </c>
      <c r="W48" s="21" t="b">
        <f t="shared" si="103"/>
        <v>0</v>
      </c>
      <c r="X48" s="21" t="str">
        <f t="shared" si="152"/>
        <v/>
      </c>
      <c r="Y48" s="21" t="b">
        <f t="shared" si="105"/>
        <v>0</v>
      </c>
      <c r="Z48" s="21" t="str">
        <f t="shared" si="153"/>
        <v/>
      </c>
      <c r="AA48" s="21" t="b">
        <f t="shared" si="154"/>
        <v>0</v>
      </c>
      <c r="AB48" s="21" t="str">
        <f t="shared" si="155"/>
        <v/>
      </c>
      <c r="AC48" s="21" t="b">
        <f t="shared" si="156"/>
        <v>0</v>
      </c>
      <c r="AD48" s="21" t="str">
        <f t="shared" si="157"/>
        <v/>
      </c>
      <c r="AE48" s="21" t="b">
        <f t="shared" si="158"/>
        <v>0</v>
      </c>
      <c r="AF48" s="21" t="str">
        <f t="shared" si="159"/>
        <v/>
      </c>
      <c r="AG48" s="21" t="b">
        <f t="shared" si="113"/>
        <v>0</v>
      </c>
      <c r="AH48" s="21" t="str">
        <f t="shared" si="160"/>
        <v/>
      </c>
      <c r="AI48" s="21" t="b">
        <f t="shared" si="161"/>
        <v>0</v>
      </c>
      <c r="AJ48" s="21" t="str">
        <f t="shared" si="162"/>
        <v/>
      </c>
      <c r="AK48" s="21" t="b">
        <f t="shared" si="163"/>
        <v>0</v>
      </c>
      <c r="AL48" s="21" t="str">
        <f t="shared" si="164"/>
        <v/>
      </c>
      <c r="AM48" s="21" t="b">
        <f t="shared" si="165"/>
        <v>0</v>
      </c>
      <c r="AN48" s="21" t="str">
        <f t="shared" si="166"/>
        <v/>
      </c>
      <c r="AO48" s="21" t="b">
        <f t="shared" si="167"/>
        <v>0</v>
      </c>
      <c r="AP48" s="21" t="str">
        <f t="shared" si="168"/>
        <v/>
      </c>
      <c r="AQ48" s="21" t="b">
        <f t="shared" si="169"/>
        <v>0</v>
      </c>
      <c r="AR48" s="21" t="str">
        <f t="shared" si="170"/>
        <v/>
      </c>
      <c r="AS48" s="21" t="b">
        <f t="shared" si="171"/>
        <v>0</v>
      </c>
      <c r="AT48" s="21" t="str">
        <f t="shared" si="172"/>
        <v/>
      </c>
      <c r="AU48" s="21" t="b">
        <f t="shared" si="173"/>
        <v>0</v>
      </c>
      <c r="AV48" s="21" t="str">
        <f t="shared" si="174"/>
        <v/>
      </c>
      <c r="AW48" s="21" t="b">
        <f t="shared" si="175"/>
        <v>0</v>
      </c>
      <c r="AX48" s="21" t="str">
        <f t="shared" si="176"/>
        <v/>
      </c>
      <c r="AY48" s="21" t="b">
        <f t="shared" si="177"/>
        <v>0</v>
      </c>
      <c r="AZ48" s="21" t="str">
        <f t="shared" si="178"/>
        <v/>
      </c>
      <c r="BA48" s="21" t="b">
        <f t="shared" si="179"/>
        <v>0</v>
      </c>
      <c r="BB48" s="21" t="str">
        <f t="shared" si="180"/>
        <v/>
      </c>
      <c r="BC48" s="21" t="b">
        <f t="shared" si="129"/>
        <v>0</v>
      </c>
      <c r="BD48" s="21" t="str">
        <f t="shared" si="181"/>
        <v/>
      </c>
    </row>
    <row r="49" spans="1:56" hidden="1" x14ac:dyDescent="0.25">
      <c r="A49" s="63">
        <f t="shared" si="141"/>
        <v>15</v>
      </c>
      <c r="C49" s="77">
        <f>+ROUNDDOWN('RIESGO RESIDUAL'!J17,0)</f>
        <v>1</v>
      </c>
      <c r="D49" s="77">
        <f>+ROUNDDOWN('RIESGO RESIDUAL'!K17,0)</f>
        <v>1</v>
      </c>
      <c r="G49" s="21" t="b">
        <f t="shared" si="142"/>
        <v>1</v>
      </c>
      <c r="H49" s="21" t="str">
        <f t="shared" si="143"/>
        <v xml:space="preserve"> R15</v>
      </c>
      <c r="I49" s="21" t="b">
        <f t="shared" si="144"/>
        <v>0</v>
      </c>
      <c r="J49" s="21" t="str">
        <f t="shared" si="145"/>
        <v/>
      </c>
      <c r="K49" s="21" t="b">
        <f t="shared" si="94"/>
        <v>0</v>
      </c>
      <c r="L49" s="21" t="str">
        <f t="shared" si="146"/>
        <v/>
      </c>
      <c r="M49" s="21" t="b">
        <f t="shared" si="95"/>
        <v>0</v>
      </c>
      <c r="N49" s="21" t="str">
        <f t="shared" si="147"/>
        <v/>
      </c>
      <c r="O49" s="21" t="b">
        <f t="shared" si="96"/>
        <v>0</v>
      </c>
      <c r="P49" s="21" t="str">
        <f t="shared" si="148"/>
        <v/>
      </c>
      <c r="Q49" s="21" t="b">
        <f t="shared" si="98"/>
        <v>0</v>
      </c>
      <c r="R49" s="21" t="str">
        <f t="shared" si="149"/>
        <v/>
      </c>
      <c r="S49" s="21" t="b">
        <f t="shared" si="137"/>
        <v>0</v>
      </c>
      <c r="T49" s="21" t="str">
        <f t="shared" si="150"/>
        <v/>
      </c>
      <c r="U49" s="21" t="b">
        <f t="shared" si="101"/>
        <v>0</v>
      </c>
      <c r="V49" s="21" t="str">
        <f t="shared" si="151"/>
        <v/>
      </c>
      <c r="W49" s="21" t="b">
        <f t="shared" si="103"/>
        <v>0</v>
      </c>
      <c r="X49" s="21" t="str">
        <f t="shared" si="152"/>
        <v/>
      </c>
      <c r="Y49" s="21" t="b">
        <f t="shared" si="105"/>
        <v>0</v>
      </c>
      <c r="Z49" s="21" t="str">
        <f t="shared" si="153"/>
        <v/>
      </c>
      <c r="AA49" s="21" t="b">
        <f t="shared" si="154"/>
        <v>0</v>
      </c>
      <c r="AB49" s="21" t="str">
        <f t="shared" si="155"/>
        <v/>
      </c>
      <c r="AC49" s="21" t="b">
        <f t="shared" si="156"/>
        <v>0</v>
      </c>
      <c r="AD49" s="21" t="str">
        <f t="shared" si="157"/>
        <v/>
      </c>
      <c r="AE49" s="21" t="b">
        <f t="shared" si="158"/>
        <v>0</v>
      </c>
      <c r="AF49" s="21" t="str">
        <f t="shared" si="159"/>
        <v/>
      </c>
      <c r="AG49" s="21" t="b">
        <f t="shared" si="113"/>
        <v>0</v>
      </c>
      <c r="AH49" s="21" t="str">
        <f t="shared" si="160"/>
        <v/>
      </c>
      <c r="AI49" s="21" t="b">
        <f t="shared" si="161"/>
        <v>0</v>
      </c>
      <c r="AJ49" s="21" t="str">
        <f t="shared" si="162"/>
        <v/>
      </c>
      <c r="AK49" s="21" t="b">
        <f t="shared" si="163"/>
        <v>0</v>
      </c>
      <c r="AL49" s="21" t="str">
        <f t="shared" si="164"/>
        <v/>
      </c>
      <c r="AM49" s="21" t="b">
        <f t="shared" si="165"/>
        <v>0</v>
      </c>
      <c r="AN49" s="21" t="str">
        <f t="shared" si="166"/>
        <v/>
      </c>
      <c r="AO49" s="21" t="b">
        <f t="shared" si="167"/>
        <v>0</v>
      </c>
      <c r="AP49" s="21" t="str">
        <f t="shared" si="168"/>
        <v/>
      </c>
      <c r="AQ49" s="21" t="b">
        <f t="shared" si="169"/>
        <v>0</v>
      </c>
      <c r="AR49" s="21" t="str">
        <f t="shared" si="170"/>
        <v/>
      </c>
      <c r="AS49" s="21" t="b">
        <f t="shared" si="171"/>
        <v>0</v>
      </c>
      <c r="AT49" s="21" t="str">
        <f t="shared" si="172"/>
        <v/>
      </c>
      <c r="AU49" s="21" t="b">
        <f t="shared" si="173"/>
        <v>0</v>
      </c>
      <c r="AV49" s="21" t="str">
        <f t="shared" si="174"/>
        <v/>
      </c>
      <c r="AW49" s="21" t="b">
        <f t="shared" si="175"/>
        <v>0</v>
      </c>
      <c r="AX49" s="21" t="str">
        <f t="shared" si="176"/>
        <v/>
      </c>
      <c r="AY49" s="21" t="b">
        <f t="shared" si="177"/>
        <v>0</v>
      </c>
      <c r="AZ49" s="21" t="str">
        <f t="shared" si="178"/>
        <v/>
      </c>
      <c r="BA49" s="21" t="b">
        <f t="shared" si="179"/>
        <v>0</v>
      </c>
      <c r="BB49" s="21" t="str">
        <f t="shared" si="180"/>
        <v/>
      </c>
      <c r="BC49" s="21" t="b">
        <f t="shared" si="129"/>
        <v>0</v>
      </c>
      <c r="BD49" s="21" t="str">
        <f t="shared" si="181"/>
        <v/>
      </c>
    </row>
    <row r="50" spans="1:56" hidden="1" x14ac:dyDescent="0.25">
      <c r="A50" s="63">
        <f t="shared" si="141"/>
        <v>16</v>
      </c>
      <c r="C50" s="77">
        <f>+ROUNDDOWN('RIESGO RESIDUAL'!J18,0)</f>
        <v>1</v>
      </c>
      <c r="D50" s="77">
        <f>+ROUNDDOWN('RIESGO RESIDUAL'!K18,0)</f>
        <v>1</v>
      </c>
      <c r="G50" s="21" t="b">
        <f t="shared" si="142"/>
        <v>1</v>
      </c>
      <c r="H50" s="21" t="str">
        <f t="shared" si="143"/>
        <v xml:space="preserve"> R16</v>
      </c>
      <c r="I50" s="21" t="b">
        <f t="shared" si="144"/>
        <v>0</v>
      </c>
      <c r="J50" s="21" t="str">
        <f t="shared" si="145"/>
        <v/>
      </c>
      <c r="K50" s="21" t="b">
        <f t="shared" si="94"/>
        <v>0</v>
      </c>
      <c r="L50" s="21" t="str">
        <f t="shared" si="146"/>
        <v/>
      </c>
      <c r="M50" s="21" t="b">
        <f t="shared" si="95"/>
        <v>0</v>
      </c>
      <c r="N50" s="21" t="str">
        <f t="shared" si="147"/>
        <v/>
      </c>
      <c r="O50" s="21" t="b">
        <f t="shared" si="96"/>
        <v>0</v>
      </c>
      <c r="P50" s="21" t="str">
        <f t="shared" si="148"/>
        <v/>
      </c>
      <c r="Q50" s="21" t="b">
        <f t="shared" si="98"/>
        <v>0</v>
      </c>
      <c r="R50" s="21" t="str">
        <f t="shared" si="149"/>
        <v/>
      </c>
      <c r="S50" s="21" t="b">
        <f t="shared" si="137"/>
        <v>0</v>
      </c>
      <c r="T50" s="21" t="str">
        <f t="shared" si="150"/>
        <v/>
      </c>
      <c r="U50" s="21" t="b">
        <f t="shared" si="101"/>
        <v>0</v>
      </c>
      <c r="V50" s="21" t="str">
        <f t="shared" si="151"/>
        <v/>
      </c>
      <c r="W50" s="21" t="b">
        <f t="shared" si="103"/>
        <v>0</v>
      </c>
      <c r="X50" s="21" t="str">
        <f t="shared" si="152"/>
        <v/>
      </c>
      <c r="Y50" s="21" t="b">
        <f t="shared" si="105"/>
        <v>0</v>
      </c>
      <c r="Z50" s="21" t="str">
        <f t="shared" si="153"/>
        <v/>
      </c>
      <c r="AA50" s="21" t="b">
        <f t="shared" si="154"/>
        <v>0</v>
      </c>
      <c r="AB50" s="21" t="str">
        <f t="shared" si="155"/>
        <v/>
      </c>
      <c r="AC50" s="21" t="b">
        <f t="shared" si="156"/>
        <v>0</v>
      </c>
      <c r="AD50" s="21" t="str">
        <f t="shared" si="157"/>
        <v/>
      </c>
      <c r="AE50" s="21" t="b">
        <f t="shared" si="158"/>
        <v>0</v>
      </c>
      <c r="AF50" s="21" t="str">
        <f t="shared" si="159"/>
        <v/>
      </c>
      <c r="AG50" s="21" t="b">
        <f t="shared" si="113"/>
        <v>0</v>
      </c>
      <c r="AH50" s="21" t="str">
        <f t="shared" si="160"/>
        <v/>
      </c>
      <c r="AI50" s="21" t="b">
        <f t="shared" si="161"/>
        <v>0</v>
      </c>
      <c r="AJ50" s="21" t="str">
        <f t="shared" si="162"/>
        <v/>
      </c>
      <c r="AK50" s="21" t="b">
        <f t="shared" si="163"/>
        <v>0</v>
      </c>
      <c r="AL50" s="21" t="str">
        <f t="shared" si="164"/>
        <v/>
      </c>
      <c r="AM50" s="21" t="b">
        <f t="shared" si="165"/>
        <v>0</v>
      </c>
      <c r="AN50" s="21" t="str">
        <f t="shared" si="166"/>
        <v/>
      </c>
      <c r="AO50" s="21" t="b">
        <f t="shared" si="167"/>
        <v>0</v>
      </c>
      <c r="AP50" s="21" t="str">
        <f t="shared" si="168"/>
        <v/>
      </c>
      <c r="AQ50" s="21" t="b">
        <f t="shared" si="169"/>
        <v>0</v>
      </c>
      <c r="AR50" s="21" t="str">
        <f t="shared" si="170"/>
        <v/>
      </c>
      <c r="AS50" s="21" t="b">
        <f t="shared" si="171"/>
        <v>0</v>
      </c>
      <c r="AT50" s="21" t="str">
        <f t="shared" si="172"/>
        <v/>
      </c>
      <c r="AU50" s="21" t="b">
        <f t="shared" si="173"/>
        <v>0</v>
      </c>
      <c r="AV50" s="21" t="str">
        <f t="shared" si="174"/>
        <v/>
      </c>
      <c r="AW50" s="21" t="b">
        <f t="shared" si="175"/>
        <v>0</v>
      </c>
      <c r="AX50" s="21" t="str">
        <f t="shared" si="176"/>
        <v/>
      </c>
      <c r="AY50" s="21" t="b">
        <f t="shared" si="177"/>
        <v>0</v>
      </c>
      <c r="AZ50" s="21" t="str">
        <f t="shared" si="178"/>
        <v/>
      </c>
      <c r="BA50" s="21" t="b">
        <f t="shared" si="179"/>
        <v>0</v>
      </c>
      <c r="BB50" s="21" t="str">
        <f t="shared" si="180"/>
        <v/>
      </c>
      <c r="BC50" s="21" t="b">
        <f t="shared" si="129"/>
        <v>0</v>
      </c>
      <c r="BD50" s="21" t="str">
        <f t="shared" si="181"/>
        <v/>
      </c>
    </row>
    <row r="51" spans="1:56" hidden="1" x14ac:dyDescent="0.25">
      <c r="A51" s="63">
        <f t="shared" si="141"/>
        <v>17</v>
      </c>
      <c r="C51" s="77">
        <f>+ROUNDDOWN('RIESGO RESIDUAL'!J19,0)</f>
        <v>1</v>
      </c>
      <c r="D51" s="77">
        <f>+ROUNDDOWN('RIESGO RESIDUAL'!K19,0)</f>
        <v>1</v>
      </c>
      <c r="G51" s="21" t="b">
        <f t="shared" si="142"/>
        <v>1</v>
      </c>
      <c r="H51" s="21" t="str">
        <f t="shared" si="143"/>
        <v xml:space="preserve"> R17</v>
      </c>
      <c r="I51" s="21" t="b">
        <f t="shared" si="144"/>
        <v>0</v>
      </c>
      <c r="J51" s="21" t="str">
        <f t="shared" si="145"/>
        <v/>
      </c>
      <c r="K51" s="21" t="b">
        <f t="shared" si="94"/>
        <v>0</v>
      </c>
      <c r="L51" s="21" t="str">
        <f t="shared" si="146"/>
        <v/>
      </c>
      <c r="M51" s="21" t="b">
        <f t="shared" si="95"/>
        <v>0</v>
      </c>
      <c r="N51" s="21" t="str">
        <f t="shared" si="147"/>
        <v/>
      </c>
      <c r="O51" s="21" t="b">
        <f t="shared" si="96"/>
        <v>0</v>
      </c>
      <c r="P51" s="21" t="str">
        <f t="shared" si="148"/>
        <v/>
      </c>
      <c r="Q51" s="21" t="b">
        <f t="shared" si="98"/>
        <v>0</v>
      </c>
      <c r="R51" s="21" t="str">
        <f t="shared" si="149"/>
        <v/>
      </c>
      <c r="S51" s="21" t="b">
        <f t="shared" si="137"/>
        <v>0</v>
      </c>
      <c r="T51" s="21" t="str">
        <f t="shared" si="150"/>
        <v/>
      </c>
      <c r="U51" s="21" t="b">
        <f t="shared" si="101"/>
        <v>0</v>
      </c>
      <c r="V51" s="21" t="str">
        <f t="shared" si="151"/>
        <v/>
      </c>
      <c r="W51" s="21" t="b">
        <f t="shared" si="103"/>
        <v>0</v>
      </c>
      <c r="X51" s="21" t="str">
        <f t="shared" si="152"/>
        <v/>
      </c>
      <c r="Y51" s="21" t="b">
        <f t="shared" si="105"/>
        <v>0</v>
      </c>
      <c r="Z51" s="21" t="str">
        <f t="shared" si="153"/>
        <v/>
      </c>
      <c r="AA51" s="21" t="b">
        <f t="shared" si="154"/>
        <v>0</v>
      </c>
      <c r="AB51" s="21" t="str">
        <f t="shared" si="155"/>
        <v/>
      </c>
      <c r="AC51" s="21" t="b">
        <f t="shared" si="156"/>
        <v>0</v>
      </c>
      <c r="AD51" s="21" t="str">
        <f t="shared" si="157"/>
        <v/>
      </c>
      <c r="AE51" s="21" t="b">
        <f t="shared" si="158"/>
        <v>0</v>
      </c>
      <c r="AF51" s="21" t="str">
        <f t="shared" si="159"/>
        <v/>
      </c>
      <c r="AG51" s="21" t="b">
        <f t="shared" si="113"/>
        <v>0</v>
      </c>
      <c r="AH51" s="21" t="str">
        <f t="shared" si="160"/>
        <v/>
      </c>
      <c r="AI51" s="21" t="b">
        <f t="shared" si="161"/>
        <v>0</v>
      </c>
      <c r="AJ51" s="21" t="str">
        <f t="shared" si="162"/>
        <v/>
      </c>
      <c r="AK51" s="21" t="b">
        <f t="shared" si="163"/>
        <v>0</v>
      </c>
      <c r="AL51" s="21" t="str">
        <f t="shared" si="164"/>
        <v/>
      </c>
      <c r="AM51" s="21" t="b">
        <f t="shared" si="165"/>
        <v>0</v>
      </c>
      <c r="AN51" s="21" t="str">
        <f t="shared" si="166"/>
        <v/>
      </c>
      <c r="AO51" s="21" t="b">
        <f t="shared" si="167"/>
        <v>0</v>
      </c>
      <c r="AP51" s="21" t="str">
        <f t="shared" si="168"/>
        <v/>
      </c>
      <c r="AQ51" s="21" t="b">
        <f t="shared" si="169"/>
        <v>0</v>
      </c>
      <c r="AR51" s="21" t="str">
        <f t="shared" si="170"/>
        <v/>
      </c>
      <c r="AS51" s="21" t="b">
        <f t="shared" si="171"/>
        <v>0</v>
      </c>
      <c r="AT51" s="21" t="str">
        <f t="shared" si="172"/>
        <v/>
      </c>
      <c r="AU51" s="21" t="b">
        <f t="shared" si="173"/>
        <v>0</v>
      </c>
      <c r="AV51" s="21" t="str">
        <f t="shared" si="174"/>
        <v/>
      </c>
      <c r="AW51" s="21" t="b">
        <f t="shared" si="175"/>
        <v>0</v>
      </c>
      <c r="AX51" s="21" t="str">
        <f t="shared" si="176"/>
        <v/>
      </c>
      <c r="AY51" s="21" t="b">
        <f t="shared" si="177"/>
        <v>0</v>
      </c>
      <c r="AZ51" s="21" t="str">
        <f t="shared" si="178"/>
        <v/>
      </c>
      <c r="BA51" s="21" t="b">
        <f t="shared" si="179"/>
        <v>0</v>
      </c>
      <c r="BB51" s="21" t="str">
        <f t="shared" si="180"/>
        <v/>
      </c>
      <c r="BC51" s="21" t="b">
        <f t="shared" si="129"/>
        <v>0</v>
      </c>
      <c r="BD51" s="21" t="str">
        <f t="shared" si="181"/>
        <v/>
      </c>
    </row>
    <row r="52" spans="1:56" hidden="1" x14ac:dyDescent="0.25">
      <c r="A52" s="63">
        <f t="shared" si="141"/>
        <v>18</v>
      </c>
      <c r="C52" s="77">
        <f>+ROUNDDOWN('RIESGO RESIDUAL'!J20,0)</f>
        <v>1</v>
      </c>
      <c r="D52" s="77">
        <f>+ROUNDDOWN('RIESGO RESIDUAL'!K20,0)</f>
        <v>1</v>
      </c>
      <c r="G52" s="21" t="b">
        <f t="shared" si="142"/>
        <v>1</v>
      </c>
      <c r="H52" s="21" t="str">
        <f t="shared" si="143"/>
        <v xml:space="preserve"> R18</v>
      </c>
      <c r="I52" s="21" t="b">
        <f t="shared" si="144"/>
        <v>0</v>
      </c>
      <c r="J52" s="21" t="str">
        <f t="shared" si="145"/>
        <v/>
      </c>
      <c r="K52" s="21" t="b">
        <f t="shared" si="94"/>
        <v>0</v>
      </c>
      <c r="L52" s="21" t="str">
        <f t="shared" si="146"/>
        <v/>
      </c>
      <c r="M52" s="21" t="b">
        <f t="shared" si="95"/>
        <v>0</v>
      </c>
      <c r="N52" s="21" t="str">
        <f t="shared" si="147"/>
        <v/>
      </c>
      <c r="O52" s="21" t="b">
        <f t="shared" si="96"/>
        <v>0</v>
      </c>
      <c r="P52" s="21" t="str">
        <f t="shared" si="148"/>
        <v/>
      </c>
      <c r="Q52" s="21" t="b">
        <f t="shared" si="98"/>
        <v>0</v>
      </c>
      <c r="R52" s="21" t="str">
        <f t="shared" si="149"/>
        <v/>
      </c>
      <c r="S52" s="21" t="b">
        <f t="shared" si="137"/>
        <v>0</v>
      </c>
      <c r="T52" s="21" t="str">
        <f t="shared" si="150"/>
        <v/>
      </c>
      <c r="U52" s="21" t="b">
        <f t="shared" si="101"/>
        <v>0</v>
      </c>
      <c r="V52" s="21" t="str">
        <f t="shared" si="151"/>
        <v/>
      </c>
      <c r="W52" s="21" t="b">
        <f t="shared" si="103"/>
        <v>0</v>
      </c>
      <c r="X52" s="21" t="str">
        <f t="shared" si="152"/>
        <v/>
      </c>
      <c r="Y52" s="21" t="b">
        <f t="shared" si="105"/>
        <v>0</v>
      </c>
      <c r="Z52" s="21" t="str">
        <f t="shared" si="153"/>
        <v/>
      </c>
      <c r="AA52" s="21" t="b">
        <f t="shared" si="154"/>
        <v>0</v>
      </c>
      <c r="AB52" s="21" t="str">
        <f t="shared" si="155"/>
        <v/>
      </c>
      <c r="AC52" s="21" t="b">
        <f t="shared" si="156"/>
        <v>0</v>
      </c>
      <c r="AD52" s="21" t="str">
        <f t="shared" si="157"/>
        <v/>
      </c>
      <c r="AE52" s="21" t="b">
        <f t="shared" si="158"/>
        <v>0</v>
      </c>
      <c r="AF52" s="21" t="str">
        <f t="shared" si="159"/>
        <v/>
      </c>
      <c r="AG52" s="21" t="b">
        <f t="shared" si="113"/>
        <v>0</v>
      </c>
      <c r="AH52" s="21" t="str">
        <f t="shared" si="160"/>
        <v/>
      </c>
      <c r="AI52" s="21" t="b">
        <f t="shared" si="161"/>
        <v>0</v>
      </c>
      <c r="AJ52" s="21" t="str">
        <f t="shared" si="162"/>
        <v/>
      </c>
      <c r="AK52" s="21" t="b">
        <f t="shared" si="163"/>
        <v>0</v>
      </c>
      <c r="AL52" s="21" t="str">
        <f t="shared" si="164"/>
        <v/>
      </c>
      <c r="AM52" s="21" t="b">
        <f t="shared" si="165"/>
        <v>0</v>
      </c>
      <c r="AN52" s="21" t="str">
        <f t="shared" si="166"/>
        <v/>
      </c>
      <c r="AO52" s="21" t="b">
        <f t="shared" si="167"/>
        <v>0</v>
      </c>
      <c r="AP52" s="21" t="str">
        <f t="shared" si="168"/>
        <v/>
      </c>
      <c r="AQ52" s="21" t="b">
        <f t="shared" si="169"/>
        <v>0</v>
      </c>
      <c r="AR52" s="21" t="str">
        <f t="shared" si="170"/>
        <v/>
      </c>
      <c r="AS52" s="21" t="b">
        <f t="shared" si="171"/>
        <v>0</v>
      </c>
      <c r="AT52" s="21" t="str">
        <f t="shared" si="172"/>
        <v/>
      </c>
      <c r="AU52" s="21" t="b">
        <f t="shared" si="173"/>
        <v>0</v>
      </c>
      <c r="AV52" s="21" t="str">
        <f t="shared" si="174"/>
        <v/>
      </c>
      <c r="AW52" s="21" t="b">
        <f t="shared" si="175"/>
        <v>0</v>
      </c>
      <c r="AX52" s="21" t="str">
        <f t="shared" si="176"/>
        <v/>
      </c>
      <c r="AY52" s="21" t="b">
        <f t="shared" si="177"/>
        <v>0</v>
      </c>
      <c r="AZ52" s="21" t="str">
        <f t="shared" si="178"/>
        <v/>
      </c>
      <c r="BA52" s="21" t="b">
        <f t="shared" si="179"/>
        <v>0</v>
      </c>
      <c r="BB52" s="21" t="str">
        <f t="shared" si="180"/>
        <v/>
      </c>
      <c r="BC52" s="21" t="b">
        <f t="shared" si="129"/>
        <v>0</v>
      </c>
      <c r="BD52" s="21" t="str">
        <f t="shared" si="181"/>
        <v/>
      </c>
    </row>
    <row r="53" spans="1:56" hidden="1" x14ac:dyDescent="0.25">
      <c r="A53" s="63">
        <f t="shared" si="141"/>
        <v>19</v>
      </c>
      <c r="C53" s="77">
        <f>+ROUNDDOWN('RIESGO RESIDUAL'!J21,0)</f>
        <v>1</v>
      </c>
      <c r="D53" s="77">
        <f>+ROUNDDOWN('RIESGO RESIDUAL'!K21,0)</f>
        <v>1</v>
      </c>
      <c r="G53" s="21" t="b">
        <f t="shared" si="142"/>
        <v>1</v>
      </c>
      <c r="H53" s="21" t="str">
        <f t="shared" si="143"/>
        <v xml:space="preserve"> R19</v>
      </c>
      <c r="I53" s="21" t="b">
        <f t="shared" si="144"/>
        <v>0</v>
      </c>
      <c r="J53" s="21" t="str">
        <f t="shared" si="145"/>
        <v/>
      </c>
      <c r="K53" s="21" t="b">
        <f t="shared" si="94"/>
        <v>0</v>
      </c>
      <c r="L53" s="21" t="str">
        <f t="shared" si="146"/>
        <v/>
      </c>
      <c r="M53" s="21" t="b">
        <f t="shared" si="95"/>
        <v>0</v>
      </c>
      <c r="N53" s="21" t="str">
        <f t="shared" si="147"/>
        <v/>
      </c>
      <c r="O53" s="21" t="b">
        <f t="shared" si="96"/>
        <v>0</v>
      </c>
      <c r="P53" s="21" t="str">
        <f t="shared" si="148"/>
        <v/>
      </c>
      <c r="Q53" s="21" t="b">
        <f t="shared" si="98"/>
        <v>0</v>
      </c>
      <c r="R53" s="21" t="str">
        <f t="shared" si="149"/>
        <v/>
      </c>
      <c r="S53" s="21" t="b">
        <f t="shared" si="137"/>
        <v>0</v>
      </c>
      <c r="T53" s="21" t="str">
        <f t="shared" si="150"/>
        <v/>
      </c>
      <c r="U53" s="21" t="b">
        <f t="shared" si="101"/>
        <v>0</v>
      </c>
      <c r="V53" s="21" t="str">
        <f t="shared" si="151"/>
        <v/>
      </c>
      <c r="W53" s="21" t="b">
        <f t="shared" si="103"/>
        <v>0</v>
      </c>
      <c r="X53" s="21" t="str">
        <f t="shared" si="152"/>
        <v/>
      </c>
      <c r="Y53" s="21" t="b">
        <f t="shared" si="105"/>
        <v>0</v>
      </c>
      <c r="Z53" s="21" t="str">
        <f t="shared" si="153"/>
        <v/>
      </c>
      <c r="AA53" s="21" t="b">
        <f t="shared" si="154"/>
        <v>0</v>
      </c>
      <c r="AB53" s="21" t="str">
        <f t="shared" si="155"/>
        <v/>
      </c>
      <c r="AC53" s="21" t="b">
        <f t="shared" si="156"/>
        <v>0</v>
      </c>
      <c r="AD53" s="21" t="str">
        <f t="shared" si="157"/>
        <v/>
      </c>
      <c r="AE53" s="21" t="b">
        <f t="shared" si="158"/>
        <v>0</v>
      </c>
      <c r="AF53" s="21" t="str">
        <f t="shared" si="159"/>
        <v/>
      </c>
      <c r="AG53" s="21" t="b">
        <f t="shared" si="113"/>
        <v>0</v>
      </c>
      <c r="AH53" s="21" t="str">
        <f t="shared" si="160"/>
        <v/>
      </c>
      <c r="AI53" s="21" t="b">
        <f t="shared" si="161"/>
        <v>0</v>
      </c>
      <c r="AJ53" s="21" t="str">
        <f t="shared" si="162"/>
        <v/>
      </c>
      <c r="AK53" s="21" t="b">
        <f t="shared" si="163"/>
        <v>0</v>
      </c>
      <c r="AL53" s="21" t="str">
        <f t="shared" si="164"/>
        <v/>
      </c>
      <c r="AM53" s="21" t="b">
        <f t="shared" si="165"/>
        <v>0</v>
      </c>
      <c r="AN53" s="21" t="str">
        <f t="shared" si="166"/>
        <v/>
      </c>
      <c r="AO53" s="21" t="b">
        <f t="shared" si="167"/>
        <v>0</v>
      </c>
      <c r="AP53" s="21" t="str">
        <f t="shared" si="168"/>
        <v/>
      </c>
      <c r="AQ53" s="21" t="b">
        <f t="shared" si="169"/>
        <v>0</v>
      </c>
      <c r="AR53" s="21" t="str">
        <f t="shared" si="170"/>
        <v/>
      </c>
      <c r="AS53" s="21" t="b">
        <f t="shared" si="171"/>
        <v>0</v>
      </c>
      <c r="AT53" s="21" t="str">
        <f t="shared" si="172"/>
        <v/>
      </c>
      <c r="AU53" s="21" t="b">
        <f t="shared" si="173"/>
        <v>0</v>
      </c>
      <c r="AV53" s="21" t="str">
        <f t="shared" si="174"/>
        <v/>
      </c>
      <c r="AW53" s="21" t="b">
        <f t="shared" si="175"/>
        <v>0</v>
      </c>
      <c r="AX53" s="21" t="str">
        <f t="shared" si="176"/>
        <v/>
      </c>
      <c r="AY53" s="21" t="b">
        <f t="shared" si="177"/>
        <v>0</v>
      </c>
      <c r="AZ53" s="21" t="str">
        <f t="shared" si="178"/>
        <v/>
      </c>
      <c r="BA53" s="21" t="b">
        <f t="shared" si="179"/>
        <v>0</v>
      </c>
      <c r="BB53" s="21" t="str">
        <f t="shared" si="180"/>
        <v/>
      </c>
      <c r="BC53" s="21" t="b">
        <f t="shared" si="129"/>
        <v>0</v>
      </c>
      <c r="BD53" s="21" t="str">
        <f t="shared" si="181"/>
        <v/>
      </c>
    </row>
    <row r="54" spans="1:56" hidden="1" x14ac:dyDescent="0.25">
      <c r="A54" s="63">
        <f t="shared" si="141"/>
        <v>20</v>
      </c>
      <c r="C54" s="77">
        <f>+ROUNDDOWN('RIESGO RESIDUAL'!J22,0)</f>
        <v>1</v>
      </c>
      <c r="D54" s="77">
        <f>+ROUNDDOWN('RIESGO RESIDUAL'!K22,0)</f>
        <v>1</v>
      </c>
      <c r="G54" s="21" t="b">
        <f t="shared" si="142"/>
        <v>1</v>
      </c>
      <c r="H54" s="21" t="str">
        <f t="shared" si="143"/>
        <v xml:space="preserve"> R20</v>
      </c>
      <c r="I54" s="21" t="b">
        <f t="shared" si="144"/>
        <v>0</v>
      </c>
      <c r="J54" s="21" t="str">
        <f t="shared" si="145"/>
        <v/>
      </c>
      <c r="K54" s="21" t="b">
        <f t="shared" si="94"/>
        <v>0</v>
      </c>
      <c r="L54" s="21" t="str">
        <f t="shared" si="146"/>
        <v/>
      </c>
      <c r="M54" s="21" t="b">
        <f t="shared" si="95"/>
        <v>0</v>
      </c>
      <c r="N54" s="21" t="str">
        <f t="shared" si="147"/>
        <v/>
      </c>
      <c r="O54" s="21" t="b">
        <f t="shared" si="96"/>
        <v>0</v>
      </c>
      <c r="P54" s="21" t="str">
        <f t="shared" si="148"/>
        <v/>
      </c>
      <c r="Q54" s="21" t="b">
        <f t="shared" si="98"/>
        <v>0</v>
      </c>
      <c r="R54" s="21" t="str">
        <f t="shared" si="149"/>
        <v/>
      </c>
      <c r="S54" s="21" t="b">
        <f t="shared" si="137"/>
        <v>0</v>
      </c>
      <c r="T54" s="21" t="str">
        <f t="shared" si="150"/>
        <v/>
      </c>
      <c r="U54" s="21" t="b">
        <f t="shared" si="101"/>
        <v>0</v>
      </c>
      <c r="V54" s="21" t="str">
        <f t="shared" si="151"/>
        <v/>
      </c>
      <c r="W54" s="21" t="b">
        <f t="shared" si="103"/>
        <v>0</v>
      </c>
      <c r="X54" s="21" t="str">
        <f t="shared" si="152"/>
        <v/>
      </c>
      <c r="Y54" s="21" t="b">
        <f t="shared" si="105"/>
        <v>0</v>
      </c>
      <c r="Z54" s="21" t="str">
        <f t="shared" si="153"/>
        <v/>
      </c>
      <c r="AA54" s="21" t="b">
        <f t="shared" si="154"/>
        <v>0</v>
      </c>
      <c r="AB54" s="21" t="str">
        <f t="shared" si="155"/>
        <v/>
      </c>
      <c r="AC54" s="21" t="b">
        <f t="shared" si="156"/>
        <v>0</v>
      </c>
      <c r="AD54" s="21" t="str">
        <f t="shared" si="157"/>
        <v/>
      </c>
      <c r="AE54" s="21" t="b">
        <f t="shared" si="158"/>
        <v>0</v>
      </c>
      <c r="AF54" s="21" t="str">
        <f t="shared" si="159"/>
        <v/>
      </c>
      <c r="AG54" s="21" t="b">
        <f t="shared" si="113"/>
        <v>0</v>
      </c>
      <c r="AH54" s="21" t="str">
        <f t="shared" si="160"/>
        <v/>
      </c>
      <c r="AI54" s="21" t="b">
        <f t="shared" si="161"/>
        <v>0</v>
      </c>
      <c r="AJ54" s="21" t="str">
        <f t="shared" si="162"/>
        <v/>
      </c>
      <c r="AK54" s="21" t="b">
        <f t="shared" si="163"/>
        <v>0</v>
      </c>
      <c r="AL54" s="21" t="str">
        <f t="shared" si="164"/>
        <v/>
      </c>
      <c r="AM54" s="21" t="b">
        <f t="shared" si="165"/>
        <v>0</v>
      </c>
      <c r="AN54" s="21" t="str">
        <f t="shared" si="166"/>
        <v/>
      </c>
      <c r="AO54" s="21" t="b">
        <f t="shared" si="167"/>
        <v>0</v>
      </c>
      <c r="AP54" s="21" t="str">
        <f t="shared" si="168"/>
        <v/>
      </c>
      <c r="AQ54" s="21" t="b">
        <f t="shared" si="169"/>
        <v>0</v>
      </c>
      <c r="AR54" s="21" t="str">
        <f t="shared" si="170"/>
        <v/>
      </c>
      <c r="AS54" s="21" t="b">
        <f t="shared" si="171"/>
        <v>0</v>
      </c>
      <c r="AT54" s="21" t="str">
        <f t="shared" si="172"/>
        <v/>
      </c>
      <c r="AU54" s="21" t="b">
        <f t="shared" si="173"/>
        <v>0</v>
      </c>
      <c r="AV54" s="21" t="str">
        <f t="shared" si="174"/>
        <v/>
      </c>
      <c r="AW54" s="21" t="b">
        <f t="shared" si="175"/>
        <v>0</v>
      </c>
      <c r="AX54" s="21" t="str">
        <f t="shared" si="176"/>
        <v/>
      </c>
      <c r="AY54" s="21" t="b">
        <f t="shared" si="177"/>
        <v>0</v>
      </c>
      <c r="AZ54" s="21" t="str">
        <f t="shared" si="178"/>
        <v/>
      </c>
      <c r="BA54" s="21" t="b">
        <f t="shared" si="179"/>
        <v>0</v>
      </c>
      <c r="BB54" s="21" t="str">
        <f t="shared" si="180"/>
        <v/>
      </c>
      <c r="BC54" s="21" t="b">
        <f t="shared" si="129"/>
        <v>0</v>
      </c>
      <c r="BD54" s="21" t="str">
        <f t="shared" si="181"/>
        <v/>
      </c>
    </row>
    <row r="55" spans="1:56" hidden="1" x14ac:dyDescent="0.25">
      <c r="A55" s="63">
        <f t="shared" si="141"/>
        <v>21</v>
      </c>
      <c r="C55" s="77">
        <f>+ROUNDDOWN('RIESGO RESIDUAL'!J23,0)</f>
        <v>1</v>
      </c>
      <c r="D55" s="77">
        <f>+ROUNDDOWN('RIESGO RESIDUAL'!K23,0)</f>
        <v>1</v>
      </c>
      <c r="G55" s="21" t="b">
        <f t="shared" si="142"/>
        <v>1</v>
      </c>
      <c r="H55" s="21" t="str">
        <f t="shared" si="143"/>
        <v xml:space="preserve"> R21</v>
      </c>
      <c r="I55" s="21" t="b">
        <f t="shared" si="144"/>
        <v>0</v>
      </c>
      <c r="J55" s="21" t="str">
        <f t="shared" si="145"/>
        <v/>
      </c>
      <c r="K55" s="21" t="b">
        <f t="shared" si="94"/>
        <v>0</v>
      </c>
      <c r="L55" s="21" t="str">
        <f t="shared" si="146"/>
        <v/>
      </c>
      <c r="M55" s="21" t="b">
        <f t="shared" si="95"/>
        <v>0</v>
      </c>
      <c r="N55" s="21" t="str">
        <f t="shared" si="147"/>
        <v/>
      </c>
      <c r="O55" s="21" t="b">
        <f t="shared" si="96"/>
        <v>0</v>
      </c>
      <c r="P55" s="21" t="str">
        <f t="shared" si="148"/>
        <v/>
      </c>
      <c r="Q55" s="21" t="b">
        <f t="shared" si="98"/>
        <v>0</v>
      </c>
      <c r="R55" s="21" t="str">
        <f t="shared" si="149"/>
        <v/>
      </c>
      <c r="S55" s="21" t="b">
        <f t="shared" si="137"/>
        <v>0</v>
      </c>
      <c r="T55" s="21" t="str">
        <f t="shared" si="150"/>
        <v/>
      </c>
      <c r="U55" s="21" t="b">
        <f t="shared" si="101"/>
        <v>0</v>
      </c>
      <c r="V55" s="21" t="str">
        <f t="shared" si="151"/>
        <v/>
      </c>
      <c r="W55" s="21" t="b">
        <f t="shared" si="103"/>
        <v>0</v>
      </c>
      <c r="X55" s="21" t="str">
        <f t="shared" si="152"/>
        <v/>
      </c>
      <c r="Y55" s="21" t="b">
        <f t="shared" si="105"/>
        <v>0</v>
      </c>
      <c r="Z55" s="21" t="str">
        <f t="shared" si="153"/>
        <v/>
      </c>
      <c r="AA55" s="21" t="b">
        <f t="shared" si="154"/>
        <v>0</v>
      </c>
      <c r="AB55" s="21" t="str">
        <f t="shared" si="155"/>
        <v/>
      </c>
      <c r="AC55" s="21" t="b">
        <f t="shared" si="156"/>
        <v>0</v>
      </c>
      <c r="AD55" s="21" t="str">
        <f t="shared" si="157"/>
        <v/>
      </c>
      <c r="AE55" s="21" t="b">
        <f t="shared" si="158"/>
        <v>0</v>
      </c>
      <c r="AF55" s="21" t="str">
        <f t="shared" si="159"/>
        <v/>
      </c>
      <c r="AG55" s="21" t="b">
        <f t="shared" si="113"/>
        <v>0</v>
      </c>
      <c r="AH55" s="21" t="str">
        <f t="shared" si="160"/>
        <v/>
      </c>
      <c r="AI55" s="21" t="b">
        <f t="shared" si="161"/>
        <v>0</v>
      </c>
      <c r="AJ55" s="21" t="str">
        <f t="shared" si="162"/>
        <v/>
      </c>
      <c r="AK55" s="21" t="b">
        <f t="shared" si="163"/>
        <v>0</v>
      </c>
      <c r="AL55" s="21" t="str">
        <f t="shared" si="164"/>
        <v/>
      </c>
      <c r="AM55" s="21" t="b">
        <f t="shared" si="165"/>
        <v>0</v>
      </c>
      <c r="AN55" s="21" t="str">
        <f t="shared" si="166"/>
        <v/>
      </c>
      <c r="AO55" s="21" t="b">
        <f t="shared" si="167"/>
        <v>0</v>
      </c>
      <c r="AP55" s="21" t="str">
        <f t="shared" si="168"/>
        <v/>
      </c>
      <c r="AQ55" s="21" t="b">
        <f t="shared" si="169"/>
        <v>0</v>
      </c>
      <c r="AR55" s="21" t="str">
        <f t="shared" si="170"/>
        <v/>
      </c>
      <c r="AS55" s="21" t="b">
        <f t="shared" si="171"/>
        <v>0</v>
      </c>
      <c r="AT55" s="21" t="str">
        <f t="shared" si="172"/>
        <v/>
      </c>
      <c r="AU55" s="21" t="b">
        <f t="shared" si="173"/>
        <v>0</v>
      </c>
      <c r="AV55" s="21" t="str">
        <f t="shared" si="174"/>
        <v/>
      </c>
      <c r="AW55" s="21" t="b">
        <f t="shared" si="175"/>
        <v>0</v>
      </c>
      <c r="AX55" s="21" t="str">
        <f t="shared" si="176"/>
        <v/>
      </c>
      <c r="AY55" s="21" t="b">
        <f t="shared" si="177"/>
        <v>0</v>
      </c>
      <c r="AZ55" s="21" t="str">
        <f t="shared" si="178"/>
        <v/>
      </c>
      <c r="BA55" s="21" t="b">
        <f t="shared" si="179"/>
        <v>0</v>
      </c>
      <c r="BB55" s="21" t="str">
        <f t="shared" si="180"/>
        <v/>
      </c>
      <c r="BC55" s="21" t="b">
        <f t="shared" si="129"/>
        <v>0</v>
      </c>
      <c r="BD55" s="21" t="str">
        <f t="shared" si="181"/>
        <v/>
      </c>
    </row>
  </sheetData>
  <mergeCells count="8">
    <mergeCell ref="N24:R24"/>
    <mergeCell ref="D27:D31"/>
    <mergeCell ref="E33:J33"/>
    <mergeCell ref="L27:L31"/>
    <mergeCell ref="C1:D1"/>
    <mergeCell ref="E1:F1"/>
    <mergeCell ref="F24:J24"/>
    <mergeCell ref="M33:R33"/>
  </mergeCells>
  <pageMargins left="0.7" right="0.7" top="0.75" bottom="0.75" header="0.3" footer="0.3"/>
  <pageSetup orientation="portrait" r:id="rId1"/>
  <ignoredErrors>
    <ignoredError sqref="K25:AR26 M3:AO8 K24:M24 S24:AR24 M10:AO14 M9:AO9 AQ9:BD9 AQ3:BD8 AQ10:BD14 M15:BD23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Y29"/>
  <sheetViews>
    <sheetView topLeftCell="AV4" workbookViewId="0">
      <selection activeCell="BB14" sqref="BB14"/>
    </sheetView>
  </sheetViews>
  <sheetFormatPr baseColWidth="10" defaultColWidth="11.42578125" defaultRowHeight="15" x14ac:dyDescent="0.25"/>
  <cols>
    <col min="1" max="1" width="14.140625" style="19" bestFit="1" customWidth="1"/>
    <col min="2" max="2" width="19.140625" style="19" customWidth="1"/>
    <col min="3" max="3" width="11.42578125" style="19" customWidth="1"/>
    <col min="4" max="4" width="14.85546875" style="19" customWidth="1"/>
    <col min="5" max="6" width="19.85546875" style="19" customWidth="1"/>
    <col min="7" max="7" width="12.85546875" style="19" customWidth="1"/>
    <col min="8" max="9" width="27.5703125" style="19" customWidth="1"/>
    <col min="10" max="10" width="23" style="19" customWidth="1"/>
    <col min="11" max="11" width="17.42578125" style="19" customWidth="1"/>
    <col min="12" max="12" width="11.42578125" style="19" customWidth="1"/>
    <col min="13" max="13" width="12.7109375" style="19" bestFit="1" customWidth="1"/>
    <col min="14" max="14" width="12.28515625" style="19" bestFit="1" customWidth="1"/>
    <col min="15" max="15" width="13.140625" style="19" bestFit="1" customWidth="1"/>
    <col min="16" max="16" width="14.7109375" style="19" bestFit="1" customWidth="1"/>
    <col min="17" max="18" width="3.5703125" style="19" bestFit="1" customWidth="1"/>
    <col min="19" max="19" width="10.42578125" style="19" bestFit="1" customWidth="1"/>
    <col min="20" max="20" width="20.5703125" style="19" bestFit="1" customWidth="1"/>
    <col min="21" max="21" width="11.42578125" style="19" customWidth="1"/>
    <col min="22" max="22" width="10.42578125" style="19" customWidth="1"/>
    <col min="23" max="23" width="13.140625" style="19" customWidth="1"/>
    <col min="24" max="24" width="11.42578125" style="19" customWidth="1"/>
    <col min="25" max="25" width="20.85546875" style="19" customWidth="1"/>
    <col min="26" max="26" width="11.42578125" style="19" customWidth="1"/>
    <col min="27" max="27" width="16.85546875" style="19" customWidth="1"/>
    <col min="28" max="28" width="11.42578125" style="19" customWidth="1"/>
    <col min="29" max="29" width="23.28515625" style="19" customWidth="1"/>
    <col min="30" max="30" width="11.42578125" style="19" customWidth="1"/>
    <col min="31" max="31" width="21.85546875" style="19" customWidth="1"/>
    <col min="32" max="32" width="11.42578125" style="19" customWidth="1"/>
    <col min="33" max="33" width="28.140625" style="19" customWidth="1"/>
    <col min="34" max="34" width="11.42578125" style="19" customWidth="1"/>
    <col min="35" max="35" width="22.28515625" style="19" customWidth="1"/>
    <col min="36" max="36" width="11.42578125" style="19" customWidth="1"/>
    <col min="37" max="37" width="2.140625" style="19" customWidth="1"/>
    <col min="38" max="46" width="11.42578125" style="19" customWidth="1"/>
    <col min="47" max="47" width="11.42578125" style="19"/>
    <col min="48" max="48" width="13.7109375" style="19" bestFit="1" customWidth="1"/>
    <col min="49" max="49" width="22.140625" style="19" bestFit="1" customWidth="1"/>
    <col min="50" max="50" width="11.42578125" style="19"/>
    <col min="51" max="51" width="34.85546875" style="19" bestFit="1" customWidth="1"/>
    <col min="52" max="16384" width="11.42578125" style="19"/>
  </cols>
  <sheetData>
    <row r="1" spans="1:51" ht="16.5" customHeight="1" x14ac:dyDescent="0.25">
      <c r="A1" s="24" t="s">
        <v>13</v>
      </c>
      <c r="B1" s="24" t="s">
        <v>15</v>
      </c>
      <c r="D1" s="24" t="s">
        <v>7</v>
      </c>
      <c r="E1" s="24" t="s">
        <v>16</v>
      </c>
      <c r="G1" s="24" t="s">
        <v>14</v>
      </c>
      <c r="H1" s="24" t="s">
        <v>6</v>
      </c>
      <c r="I1" s="28"/>
      <c r="J1" s="24" t="s">
        <v>23</v>
      </c>
      <c r="K1" s="24" t="s">
        <v>22</v>
      </c>
      <c r="M1" s="24" t="s">
        <v>31</v>
      </c>
      <c r="N1" s="24" t="s">
        <v>26</v>
      </c>
      <c r="O1" s="24" t="s">
        <v>27</v>
      </c>
      <c r="P1" s="24" t="s">
        <v>28</v>
      </c>
      <c r="Q1" s="24" t="s">
        <v>29</v>
      </c>
      <c r="R1" s="24" t="s">
        <v>30</v>
      </c>
      <c r="S1" s="24" t="s">
        <v>31</v>
      </c>
      <c r="T1" s="24" t="s">
        <v>38</v>
      </c>
      <c r="V1" s="24" t="s">
        <v>45</v>
      </c>
      <c r="W1" s="24" t="s">
        <v>44</v>
      </c>
      <c r="Y1" s="24" t="s">
        <v>48</v>
      </c>
      <c r="AA1" s="24" t="s">
        <v>56</v>
      </c>
      <c r="AC1" s="24" t="s">
        <v>57</v>
      </c>
      <c r="AE1" s="24" t="s">
        <v>64</v>
      </c>
      <c r="AG1" s="24" t="s">
        <v>67</v>
      </c>
      <c r="AI1" s="225" t="s">
        <v>77</v>
      </c>
      <c r="AK1" s="23" t="s">
        <v>87</v>
      </c>
      <c r="AM1" s="22" t="s">
        <v>149</v>
      </c>
      <c r="AN1" s="22">
        <v>0</v>
      </c>
      <c r="AP1" s="22" t="s">
        <v>90</v>
      </c>
      <c r="AQ1" s="22">
        <v>5</v>
      </c>
      <c r="AS1" s="24" t="s">
        <v>171</v>
      </c>
      <c r="AU1" s="24" t="s">
        <v>234</v>
      </c>
      <c r="AV1" s="24" t="s">
        <v>26</v>
      </c>
      <c r="AW1" s="33" t="s">
        <v>235</v>
      </c>
      <c r="AX1" s="24" t="s">
        <v>45</v>
      </c>
      <c r="AY1" s="24" t="s">
        <v>236</v>
      </c>
    </row>
    <row r="2" spans="1:51" x14ac:dyDescent="0.25">
      <c r="A2" s="22" t="s">
        <v>121</v>
      </c>
      <c r="B2" s="22">
        <v>5</v>
      </c>
      <c r="D2" s="22" t="s">
        <v>17</v>
      </c>
      <c r="E2" s="22">
        <v>5</v>
      </c>
      <c r="G2" s="22">
        <v>1</v>
      </c>
      <c r="H2" s="27" t="s">
        <v>169</v>
      </c>
      <c r="I2" s="25"/>
      <c r="J2" s="22">
        <v>1</v>
      </c>
      <c r="K2" s="22" t="s">
        <v>8</v>
      </c>
      <c r="M2" s="22">
        <v>1</v>
      </c>
      <c r="N2" s="29" t="s">
        <v>124</v>
      </c>
      <c r="O2" s="29" t="s">
        <v>20</v>
      </c>
      <c r="P2" s="29" t="s">
        <v>32</v>
      </c>
      <c r="Q2" s="23">
        <v>1</v>
      </c>
      <c r="R2" s="23">
        <v>1</v>
      </c>
      <c r="S2" s="23">
        <f>+Q2*R2</f>
        <v>1</v>
      </c>
      <c r="T2" s="23" t="s">
        <v>39</v>
      </c>
      <c r="V2" s="29">
        <v>0</v>
      </c>
      <c r="W2" s="29" t="s">
        <v>32</v>
      </c>
      <c r="Y2" s="23" t="s">
        <v>49</v>
      </c>
      <c r="AA2" s="23" t="s">
        <v>53</v>
      </c>
      <c r="AC2" s="23" t="s">
        <v>58</v>
      </c>
      <c r="AE2" s="23" t="s">
        <v>65</v>
      </c>
      <c r="AG2" s="23" t="s">
        <v>68</v>
      </c>
      <c r="AI2" s="23" t="s">
        <v>74</v>
      </c>
      <c r="AJ2" s="22">
        <v>50</v>
      </c>
      <c r="AM2" s="22" t="s">
        <v>150</v>
      </c>
      <c r="AN2" s="22">
        <v>10</v>
      </c>
      <c r="AP2" s="22" t="s">
        <v>151</v>
      </c>
      <c r="AQ2" s="22">
        <v>15</v>
      </c>
      <c r="AS2" s="23" t="s">
        <v>256</v>
      </c>
      <c r="AU2" s="22" t="s">
        <v>230</v>
      </c>
      <c r="AV2" s="22" t="s">
        <v>124</v>
      </c>
      <c r="AW2" s="22" t="str">
        <f>+AV2&amp;AU2</f>
        <v>RaraMuy Bajo</v>
      </c>
      <c r="AX2" s="22">
        <v>1</v>
      </c>
      <c r="AY2" s="22" t="s">
        <v>230</v>
      </c>
    </row>
    <row r="3" spans="1:51" x14ac:dyDescent="0.25">
      <c r="A3" s="22" t="s">
        <v>122</v>
      </c>
      <c r="B3" s="22">
        <v>4</v>
      </c>
      <c r="D3" s="22" t="s">
        <v>18</v>
      </c>
      <c r="E3" s="22">
        <v>4</v>
      </c>
      <c r="G3" s="22">
        <v>2</v>
      </c>
      <c r="H3" s="22" t="s">
        <v>21</v>
      </c>
      <c r="I3" s="26"/>
      <c r="J3" s="22">
        <v>2</v>
      </c>
      <c r="K3" s="22" t="s">
        <v>9</v>
      </c>
      <c r="M3" s="22">
        <v>2</v>
      </c>
      <c r="N3" s="29" t="s">
        <v>123</v>
      </c>
      <c r="O3" s="29" t="s">
        <v>20</v>
      </c>
      <c r="P3" s="29" t="s">
        <v>32</v>
      </c>
      <c r="Q3" s="23">
        <v>2</v>
      </c>
      <c r="R3" s="23">
        <v>1</v>
      </c>
      <c r="S3" s="23">
        <f t="shared" ref="S3:S26" si="0">+Q3*R3</f>
        <v>2</v>
      </c>
      <c r="T3" s="23" t="s">
        <v>39</v>
      </c>
      <c r="V3" s="29">
        <v>1</v>
      </c>
      <c r="W3" s="29" t="s">
        <v>32</v>
      </c>
      <c r="Y3" s="23" t="s">
        <v>50</v>
      </c>
      <c r="AA3" s="23" t="s">
        <v>54</v>
      </c>
      <c r="AC3" s="23" t="s">
        <v>81</v>
      </c>
      <c r="AE3" s="23" t="s">
        <v>78</v>
      </c>
      <c r="AG3" s="23" t="s">
        <v>69</v>
      </c>
      <c r="AI3" s="23" t="s">
        <v>75</v>
      </c>
      <c r="AJ3" s="22">
        <v>30</v>
      </c>
      <c r="AM3" s="22" t="s">
        <v>84</v>
      </c>
      <c r="AN3" s="22">
        <v>5</v>
      </c>
      <c r="AP3" s="22" t="s">
        <v>91</v>
      </c>
      <c r="AQ3" s="22">
        <v>25</v>
      </c>
      <c r="AS3" s="23" t="s">
        <v>257</v>
      </c>
      <c r="AU3" s="22" t="s">
        <v>230</v>
      </c>
      <c r="AV3" s="22" t="s">
        <v>123</v>
      </c>
      <c r="AW3" s="22" t="str">
        <f t="shared" ref="AW3:AW26" si="1">+AV3&amp;AU3</f>
        <v>Poco ProbableMuy Bajo</v>
      </c>
      <c r="AX3" s="22">
        <v>1</v>
      </c>
      <c r="AY3" s="22" t="s">
        <v>230</v>
      </c>
    </row>
    <row r="4" spans="1:51" x14ac:dyDescent="0.25">
      <c r="A4" s="22" t="s">
        <v>125</v>
      </c>
      <c r="B4" s="22">
        <v>3</v>
      </c>
      <c r="D4" s="22" t="s">
        <v>12</v>
      </c>
      <c r="E4" s="22">
        <v>3</v>
      </c>
      <c r="G4" s="22">
        <v>3</v>
      </c>
      <c r="H4" s="22" t="s">
        <v>156</v>
      </c>
      <c r="I4" s="26"/>
      <c r="J4" s="22">
        <v>3</v>
      </c>
      <c r="K4" s="22" t="s">
        <v>10</v>
      </c>
      <c r="M4" s="22">
        <v>2</v>
      </c>
      <c r="N4" s="29" t="s">
        <v>124</v>
      </c>
      <c r="O4" s="29" t="s">
        <v>19</v>
      </c>
      <c r="P4" s="29" t="s">
        <v>32</v>
      </c>
      <c r="Q4" s="23">
        <v>1</v>
      </c>
      <c r="R4" s="23">
        <v>2</v>
      </c>
      <c r="S4" s="23">
        <f t="shared" si="0"/>
        <v>2</v>
      </c>
      <c r="T4" s="23" t="s">
        <v>39</v>
      </c>
      <c r="V4" s="29">
        <v>2</v>
      </c>
      <c r="W4" s="29" t="s">
        <v>32</v>
      </c>
      <c r="Y4" s="23" t="s">
        <v>51</v>
      </c>
      <c r="AA4" s="23" t="s">
        <v>55</v>
      </c>
      <c r="AC4" s="23" t="s">
        <v>80</v>
      </c>
      <c r="AE4" s="23" t="s">
        <v>66</v>
      </c>
      <c r="AG4" s="23" t="s">
        <v>70</v>
      </c>
      <c r="AI4" s="23" t="s">
        <v>76</v>
      </c>
      <c r="AJ4" s="22">
        <v>10</v>
      </c>
      <c r="AM4" s="22" t="s">
        <v>85</v>
      </c>
      <c r="AN4" s="22">
        <v>10</v>
      </c>
      <c r="AS4" s="23" t="s">
        <v>258</v>
      </c>
      <c r="AU4" s="22" t="s">
        <v>230</v>
      </c>
      <c r="AV4" s="22" t="s">
        <v>125</v>
      </c>
      <c r="AW4" s="22" t="str">
        <f t="shared" si="1"/>
        <v>ModeradaMuy Bajo</v>
      </c>
      <c r="AX4" s="22">
        <v>1</v>
      </c>
      <c r="AY4" s="22" t="s">
        <v>230</v>
      </c>
    </row>
    <row r="5" spans="1:51" x14ac:dyDescent="0.25">
      <c r="A5" s="22" t="s">
        <v>123</v>
      </c>
      <c r="B5" s="22">
        <v>2</v>
      </c>
      <c r="D5" s="22" t="s">
        <v>19</v>
      </c>
      <c r="E5" s="22">
        <v>2</v>
      </c>
      <c r="G5" s="22">
        <v>4</v>
      </c>
      <c r="H5" s="22" t="s">
        <v>162</v>
      </c>
      <c r="I5" s="26"/>
      <c r="J5" s="22">
        <v>4</v>
      </c>
      <c r="K5" s="22" t="s">
        <v>11</v>
      </c>
      <c r="M5" s="22">
        <v>3</v>
      </c>
      <c r="N5" s="29" t="s">
        <v>125</v>
      </c>
      <c r="O5" s="29" t="s">
        <v>20</v>
      </c>
      <c r="P5" s="29" t="s">
        <v>32</v>
      </c>
      <c r="Q5" s="23">
        <v>3</v>
      </c>
      <c r="R5" s="23">
        <v>1</v>
      </c>
      <c r="S5" s="23">
        <f t="shared" si="0"/>
        <v>3</v>
      </c>
      <c r="T5" s="23" t="s">
        <v>39</v>
      </c>
      <c r="V5" s="29">
        <v>3</v>
      </c>
      <c r="W5" s="29" t="s">
        <v>32</v>
      </c>
      <c r="Y5" s="23" t="s">
        <v>52</v>
      </c>
      <c r="AC5" s="23" t="s">
        <v>82</v>
      </c>
      <c r="AG5" s="23" t="s">
        <v>71</v>
      </c>
      <c r="AI5" s="87"/>
      <c r="AS5" s="23" t="s">
        <v>259</v>
      </c>
      <c r="AU5" s="22" t="s">
        <v>230</v>
      </c>
      <c r="AV5" s="22" t="s">
        <v>122</v>
      </c>
      <c r="AW5" s="22" t="str">
        <f t="shared" si="1"/>
        <v>ProbableMuy Bajo</v>
      </c>
      <c r="AX5" s="22">
        <v>1</v>
      </c>
      <c r="AY5" s="22" t="s">
        <v>230</v>
      </c>
    </row>
    <row r="6" spans="1:51" x14ac:dyDescent="0.25">
      <c r="A6" s="22" t="s">
        <v>124</v>
      </c>
      <c r="B6" s="22">
        <v>1</v>
      </c>
      <c r="D6" s="22" t="s">
        <v>20</v>
      </c>
      <c r="E6" s="22">
        <v>1</v>
      </c>
      <c r="M6" s="22">
        <v>3</v>
      </c>
      <c r="N6" s="29" t="s">
        <v>124</v>
      </c>
      <c r="O6" s="29" t="s">
        <v>12</v>
      </c>
      <c r="P6" s="29" t="s">
        <v>32</v>
      </c>
      <c r="Q6" s="23">
        <v>1</v>
      </c>
      <c r="R6" s="23">
        <v>3</v>
      </c>
      <c r="S6" s="23">
        <f t="shared" si="0"/>
        <v>3</v>
      </c>
      <c r="T6" s="23" t="s">
        <v>39</v>
      </c>
      <c r="V6" s="29">
        <v>4</v>
      </c>
      <c r="W6" s="29" t="s">
        <v>32</v>
      </c>
      <c r="AC6" s="23" t="s">
        <v>59</v>
      </c>
      <c r="AG6" s="23" t="s">
        <v>72</v>
      </c>
      <c r="AS6" s="23" t="s">
        <v>260</v>
      </c>
      <c r="AU6" s="22" t="s">
        <v>233</v>
      </c>
      <c r="AV6" s="22" t="s">
        <v>124</v>
      </c>
      <c r="AW6" s="22" t="str">
        <f t="shared" si="1"/>
        <v>RaraBajo</v>
      </c>
      <c r="AX6" s="22">
        <v>1</v>
      </c>
      <c r="AY6" s="22" t="s">
        <v>230</v>
      </c>
    </row>
    <row r="7" spans="1:51" x14ac:dyDescent="0.25">
      <c r="M7" s="22">
        <v>4</v>
      </c>
      <c r="N7" s="29" t="s">
        <v>122</v>
      </c>
      <c r="O7" s="29" t="s">
        <v>20</v>
      </c>
      <c r="P7" s="29" t="s">
        <v>32</v>
      </c>
      <c r="Q7" s="23">
        <v>4</v>
      </c>
      <c r="R7" s="23">
        <v>1</v>
      </c>
      <c r="S7" s="23">
        <f t="shared" si="0"/>
        <v>4</v>
      </c>
      <c r="T7" s="23" t="s">
        <v>39</v>
      </c>
      <c r="V7" s="29">
        <v>5</v>
      </c>
      <c r="W7" s="29" t="s">
        <v>32</v>
      </c>
      <c r="AC7" s="23" t="s">
        <v>60</v>
      </c>
      <c r="AG7" s="23" t="s">
        <v>73</v>
      </c>
      <c r="AS7" s="23" t="s">
        <v>261</v>
      </c>
      <c r="AU7" s="22" t="s">
        <v>233</v>
      </c>
      <c r="AV7" s="22" t="s">
        <v>123</v>
      </c>
      <c r="AW7" s="22" t="str">
        <f t="shared" si="1"/>
        <v>Poco ProbableBajo</v>
      </c>
      <c r="AX7" s="22">
        <v>1</v>
      </c>
      <c r="AY7" s="22" t="s">
        <v>230</v>
      </c>
    </row>
    <row r="8" spans="1:51" x14ac:dyDescent="0.25">
      <c r="M8" s="22">
        <v>4</v>
      </c>
      <c r="N8" s="29" t="s">
        <v>123</v>
      </c>
      <c r="O8" s="29" t="s">
        <v>19</v>
      </c>
      <c r="P8" s="29" t="s">
        <v>32</v>
      </c>
      <c r="Q8" s="23">
        <v>2</v>
      </c>
      <c r="R8" s="23">
        <v>2</v>
      </c>
      <c r="S8" s="23">
        <f t="shared" si="0"/>
        <v>4</v>
      </c>
      <c r="T8" s="23" t="s">
        <v>39</v>
      </c>
      <c r="V8" s="29">
        <v>6</v>
      </c>
      <c r="W8" s="29" t="s">
        <v>32</v>
      </c>
      <c r="AC8" s="23" t="s">
        <v>61</v>
      </c>
      <c r="AS8" s="23" t="s">
        <v>262</v>
      </c>
      <c r="AU8" s="22" t="s">
        <v>230</v>
      </c>
      <c r="AV8" s="22" t="s">
        <v>229</v>
      </c>
      <c r="AW8" s="22" t="str">
        <f t="shared" si="1"/>
        <v>Casi ciertaMuy Bajo</v>
      </c>
      <c r="AX8" s="22">
        <v>2</v>
      </c>
      <c r="AY8" s="22" t="s">
        <v>233</v>
      </c>
    </row>
    <row r="9" spans="1:51" x14ac:dyDescent="0.25">
      <c r="M9" s="22">
        <v>4</v>
      </c>
      <c r="N9" s="29" t="s">
        <v>123</v>
      </c>
      <c r="O9" s="29" t="s">
        <v>18</v>
      </c>
      <c r="P9" s="29" t="s">
        <v>32</v>
      </c>
      <c r="Q9" s="23">
        <v>1</v>
      </c>
      <c r="R9" s="23">
        <v>4</v>
      </c>
      <c r="S9" s="23">
        <f t="shared" si="0"/>
        <v>4</v>
      </c>
      <c r="T9" s="23" t="s">
        <v>39</v>
      </c>
      <c r="V9" s="29">
        <v>7</v>
      </c>
      <c r="W9" s="29" t="s">
        <v>32</v>
      </c>
      <c r="AC9" s="23" t="s">
        <v>62</v>
      </c>
      <c r="AS9" s="23" t="s">
        <v>179</v>
      </c>
      <c r="AU9" s="22" t="s">
        <v>233</v>
      </c>
      <c r="AV9" s="22" t="s">
        <v>125</v>
      </c>
      <c r="AW9" s="22" t="str">
        <f t="shared" si="1"/>
        <v>ModeradaBajo</v>
      </c>
      <c r="AX9" s="22">
        <v>2</v>
      </c>
      <c r="AY9" s="22" t="s">
        <v>233</v>
      </c>
    </row>
    <row r="10" spans="1:51" x14ac:dyDescent="0.25">
      <c r="M10" s="22">
        <v>5</v>
      </c>
      <c r="N10" s="30" t="s">
        <v>121</v>
      </c>
      <c r="O10" s="30" t="s">
        <v>20</v>
      </c>
      <c r="P10" s="30" t="s">
        <v>34</v>
      </c>
      <c r="Q10" s="23">
        <v>5</v>
      </c>
      <c r="R10" s="23">
        <v>1</v>
      </c>
      <c r="S10" s="23">
        <f t="shared" si="0"/>
        <v>5</v>
      </c>
      <c r="T10" s="23" t="s">
        <v>40</v>
      </c>
      <c r="V10" s="29">
        <v>8</v>
      </c>
      <c r="W10" s="29" t="s">
        <v>32</v>
      </c>
      <c r="AC10" s="23" t="s">
        <v>63</v>
      </c>
      <c r="AS10" s="23" t="s">
        <v>180</v>
      </c>
      <c r="AU10" s="22" t="s">
        <v>233</v>
      </c>
      <c r="AV10" s="22" t="s">
        <v>122</v>
      </c>
      <c r="AW10" s="22" t="str">
        <f t="shared" si="1"/>
        <v>ProbableBajo</v>
      </c>
      <c r="AX10" s="22">
        <v>2</v>
      </c>
      <c r="AY10" s="22" t="s">
        <v>233</v>
      </c>
    </row>
    <row r="11" spans="1:51" x14ac:dyDescent="0.25">
      <c r="M11" s="22">
        <v>5</v>
      </c>
      <c r="N11" s="30" t="s">
        <v>123</v>
      </c>
      <c r="O11" s="30" t="s">
        <v>17</v>
      </c>
      <c r="P11" s="30" t="s">
        <v>34</v>
      </c>
      <c r="Q11" s="23">
        <v>1</v>
      </c>
      <c r="R11" s="23">
        <v>5</v>
      </c>
      <c r="S11" s="23">
        <f t="shared" si="0"/>
        <v>5</v>
      </c>
      <c r="T11" s="23" t="s">
        <v>40</v>
      </c>
      <c r="V11" s="30">
        <v>9</v>
      </c>
      <c r="W11" s="30" t="s">
        <v>34</v>
      </c>
      <c r="AS11" s="23" t="s">
        <v>181</v>
      </c>
      <c r="AU11" s="22" t="s">
        <v>231</v>
      </c>
      <c r="AV11" s="22" t="s">
        <v>124</v>
      </c>
      <c r="AW11" s="22" t="str">
        <f t="shared" si="1"/>
        <v>RaraMedio</v>
      </c>
      <c r="AX11" s="22">
        <v>2</v>
      </c>
      <c r="AY11" s="22" t="s">
        <v>233</v>
      </c>
    </row>
    <row r="12" spans="1:51" x14ac:dyDescent="0.25">
      <c r="M12" s="22">
        <v>6</v>
      </c>
      <c r="N12" s="30" t="s">
        <v>125</v>
      </c>
      <c r="O12" s="30" t="s">
        <v>19</v>
      </c>
      <c r="P12" s="30" t="s">
        <v>34</v>
      </c>
      <c r="Q12" s="23">
        <v>3</v>
      </c>
      <c r="R12" s="23">
        <v>2</v>
      </c>
      <c r="S12" s="23">
        <f t="shared" si="0"/>
        <v>6</v>
      </c>
      <c r="T12" s="23" t="s">
        <v>40</v>
      </c>
      <c r="V12" s="30">
        <v>10</v>
      </c>
      <c r="W12" s="30" t="s">
        <v>34</v>
      </c>
      <c r="AS12" s="23" t="s">
        <v>182</v>
      </c>
      <c r="AU12" s="22" t="s">
        <v>231</v>
      </c>
      <c r="AV12" s="22" t="s">
        <v>123</v>
      </c>
      <c r="AW12" s="22" t="str">
        <f t="shared" si="1"/>
        <v>Poco ProbableMedio</v>
      </c>
      <c r="AX12" s="22">
        <v>2</v>
      </c>
      <c r="AY12" s="22" t="s">
        <v>233</v>
      </c>
    </row>
    <row r="13" spans="1:51" x14ac:dyDescent="0.25">
      <c r="M13" s="22">
        <v>6</v>
      </c>
      <c r="N13" s="30" t="s">
        <v>125</v>
      </c>
      <c r="O13" s="30" t="s">
        <v>12</v>
      </c>
      <c r="P13" s="30" t="s">
        <v>34</v>
      </c>
      <c r="Q13" s="23">
        <v>2</v>
      </c>
      <c r="R13" s="23">
        <v>3</v>
      </c>
      <c r="S13" s="23">
        <f t="shared" si="0"/>
        <v>6</v>
      </c>
      <c r="T13" s="23" t="s">
        <v>40</v>
      </c>
      <c r="V13" s="30">
        <v>11</v>
      </c>
      <c r="W13" s="30" t="s">
        <v>34</v>
      </c>
      <c r="AS13" s="23" t="s">
        <v>183</v>
      </c>
      <c r="AU13" s="22" t="s">
        <v>233</v>
      </c>
      <c r="AV13" s="22" t="s">
        <v>229</v>
      </c>
      <c r="AW13" s="22" t="str">
        <f t="shared" si="1"/>
        <v>Casi ciertaBajo</v>
      </c>
      <c r="AX13" s="22">
        <v>3</v>
      </c>
      <c r="AY13" s="22" t="s">
        <v>231</v>
      </c>
    </row>
    <row r="14" spans="1:51" x14ac:dyDescent="0.25">
      <c r="M14" s="22">
        <v>8</v>
      </c>
      <c r="N14" s="30" t="s">
        <v>122</v>
      </c>
      <c r="O14" s="30" t="s">
        <v>19</v>
      </c>
      <c r="P14" s="30" t="s">
        <v>34</v>
      </c>
      <c r="Q14" s="23">
        <v>4</v>
      </c>
      <c r="R14" s="23">
        <v>2</v>
      </c>
      <c r="S14" s="23">
        <f t="shared" si="0"/>
        <v>8</v>
      </c>
      <c r="T14" s="23" t="s">
        <v>41</v>
      </c>
      <c r="V14" s="30">
        <v>12</v>
      </c>
      <c r="W14" s="30" t="s">
        <v>34</v>
      </c>
      <c r="AS14" s="23" t="s">
        <v>184</v>
      </c>
      <c r="AU14" s="22" t="s">
        <v>231</v>
      </c>
      <c r="AV14" s="22" t="s">
        <v>125</v>
      </c>
      <c r="AW14" s="22" t="str">
        <f t="shared" si="1"/>
        <v>ModeradaMedio</v>
      </c>
      <c r="AX14" s="22">
        <v>3</v>
      </c>
      <c r="AY14" s="22" t="s">
        <v>231</v>
      </c>
    </row>
    <row r="15" spans="1:51" x14ac:dyDescent="0.25">
      <c r="M15" s="22">
        <v>8</v>
      </c>
      <c r="N15" s="30" t="s">
        <v>122</v>
      </c>
      <c r="O15" s="30" t="s">
        <v>18</v>
      </c>
      <c r="P15" s="30" t="s">
        <v>34</v>
      </c>
      <c r="Q15" s="23">
        <v>2</v>
      </c>
      <c r="R15" s="23">
        <v>4</v>
      </c>
      <c r="S15" s="23">
        <f t="shared" si="0"/>
        <v>8</v>
      </c>
      <c r="T15" s="23" t="s">
        <v>41</v>
      </c>
      <c r="V15" s="30">
        <v>13</v>
      </c>
      <c r="W15" s="30" t="s">
        <v>34</v>
      </c>
      <c r="AS15" s="23" t="s">
        <v>185</v>
      </c>
      <c r="AU15" s="22" t="s">
        <v>231</v>
      </c>
      <c r="AV15" s="22" t="s">
        <v>122</v>
      </c>
      <c r="AW15" s="22" t="str">
        <f t="shared" si="1"/>
        <v>ProbableMedio</v>
      </c>
      <c r="AX15" s="22">
        <v>3</v>
      </c>
      <c r="AY15" s="22" t="s">
        <v>231</v>
      </c>
    </row>
    <row r="16" spans="1:51" x14ac:dyDescent="0.25">
      <c r="M16" s="22">
        <v>9</v>
      </c>
      <c r="N16" s="30" t="s">
        <v>122</v>
      </c>
      <c r="O16" s="30" t="s">
        <v>12</v>
      </c>
      <c r="P16" s="30" t="s">
        <v>34</v>
      </c>
      <c r="Q16" s="23">
        <v>3</v>
      </c>
      <c r="R16" s="23">
        <v>3</v>
      </c>
      <c r="S16" s="23">
        <f t="shared" si="0"/>
        <v>9</v>
      </c>
      <c r="T16" s="23" t="s">
        <v>41</v>
      </c>
      <c r="V16" s="30">
        <v>14</v>
      </c>
      <c r="W16" s="30" t="s">
        <v>34</v>
      </c>
      <c r="AS16" s="23" t="s">
        <v>186</v>
      </c>
      <c r="AU16" s="22" t="s">
        <v>232</v>
      </c>
      <c r="AV16" s="22" t="s">
        <v>124</v>
      </c>
      <c r="AW16" s="22" t="str">
        <f t="shared" si="1"/>
        <v>RaraAlto</v>
      </c>
      <c r="AX16" s="22">
        <v>3</v>
      </c>
      <c r="AY16" s="22" t="s">
        <v>231</v>
      </c>
    </row>
    <row r="17" spans="13:51" x14ac:dyDescent="0.25">
      <c r="M17" s="22">
        <v>10</v>
      </c>
      <c r="N17" s="30" t="s">
        <v>121</v>
      </c>
      <c r="O17" s="30" t="s">
        <v>19</v>
      </c>
      <c r="P17" s="30" t="s">
        <v>34</v>
      </c>
      <c r="Q17" s="23">
        <v>5</v>
      </c>
      <c r="R17" s="23">
        <v>2</v>
      </c>
      <c r="S17" s="23">
        <f t="shared" si="0"/>
        <v>10</v>
      </c>
      <c r="T17" s="23" t="s">
        <v>42</v>
      </c>
      <c r="V17" s="31">
        <v>15</v>
      </c>
      <c r="W17" s="31" t="s">
        <v>35</v>
      </c>
      <c r="AS17" s="23" t="s">
        <v>187</v>
      </c>
      <c r="AU17" s="22" t="s">
        <v>232</v>
      </c>
      <c r="AV17" s="22" t="s">
        <v>123</v>
      </c>
      <c r="AW17" s="22" t="str">
        <f t="shared" si="1"/>
        <v>Poco ProbableAlto</v>
      </c>
      <c r="AX17" s="22">
        <v>3</v>
      </c>
      <c r="AY17" s="22" t="s">
        <v>231</v>
      </c>
    </row>
    <row r="18" spans="13:51" x14ac:dyDescent="0.25">
      <c r="M18" s="22">
        <v>10</v>
      </c>
      <c r="N18" s="30" t="s">
        <v>122</v>
      </c>
      <c r="O18" s="30" t="s">
        <v>17</v>
      </c>
      <c r="P18" s="30" t="s">
        <v>34</v>
      </c>
      <c r="Q18" s="23">
        <v>2</v>
      </c>
      <c r="R18" s="23">
        <v>5</v>
      </c>
      <c r="S18" s="23">
        <f t="shared" si="0"/>
        <v>10</v>
      </c>
      <c r="T18" s="23" t="s">
        <v>42</v>
      </c>
      <c r="V18" s="31">
        <v>16</v>
      </c>
      <c r="W18" s="31" t="s">
        <v>35</v>
      </c>
      <c r="AU18" s="22" t="s">
        <v>231</v>
      </c>
      <c r="AV18" s="22" t="s">
        <v>229</v>
      </c>
      <c r="AW18" s="22" t="str">
        <f t="shared" si="1"/>
        <v>Casi ciertaMedio</v>
      </c>
      <c r="AX18" s="22">
        <v>4</v>
      </c>
      <c r="AY18" s="22" t="s">
        <v>232</v>
      </c>
    </row>
    <row r="19" spans="13:51" x14ac:dyDescent="0.25">
      <c r="M19" s="22">
        <v>12</v>
      </c>
      <c r="N19" s="31" t="s">
        <v>122</v>
      </c>
      <c r="O19" s="31" t="s">
        <v>12</v>
      </c>
      <c r="P19" s="31" t="s">
        <v>35</v>
      </c>
      <c r="Q19" s="23">
        <v>4</v>
      </c>
      <c r="R19" s="23">
        <v>3</v>
      </c>
      <c r="S19" s="23">
        <f t="shared" si="0"/>
        <v>12</v>
      </c>
      <c r="T19" s="23" t="s">
        <v>42</v>
      </c>
      <c r="V19" s="31">
        <v>17</v>
      </c>
      <c r="W19" s="31" t="s">
        <v>35</v>
      </c>
      <c r="AU19" s="22" t="s">
        <v>232</v>
      </c>
      <c r="AV19" s="22" t="s">
        <v>125</v>
      </c>
      <c r="AW19" s="22" t="str">
        <f t="shared" si="1"/>
        <v>ModeradaAlto</v>
      </c>
      <c r="AX19" s="22">
        <v>4</v>
      </c>
      <c r="AY19" s="22" t="s">
        <v>232</v>
      </c>
    </row>
    <row r="20" spans="13:51" x14ac:dyDescent="0.25">
      <c r="M20" s="22">
        <v>12</v>
      </c>
      <c r="N20" s="31" t="s">
        <v>122</v>
      </c>
      <c r="O20" s="31" t="s">
        <v>18</v>
      </c>
      <c r="P20" s="31" t="s">
        <v>35</v>
      </c>
      <c r="Q20" s="23">
        <v>3</v>
      </c>
      <c r="R20" s="23">
        <v>4</v>
      </c>
      <c r="S20" s="23">
        <f t="shared" si="0"/>
        <v>12</v>
      </c>
      <c r="T20" s="23" t="s">
        <v>42</v>
      </c>
      <c r="V20" s="31">
        <v>18</v>
      </c>
      <c r="W20" s="31" t="s">
        <v>35</v>
      </c>
      <c r="AU20" s="22" t="s">
        <v>232</v>
      </c>
      <c r="AV20" s="22" t="s">
        <v>122</v>
      </c>
      <c r="AW20" s="22" t="str">
        <f t="shared" si="1"/>
        <v>ProbableAlto</v>
      </c>
      <c r="AX20" s="22">
        <v>4</v>
      </c>
      <c r="AY20" s="22" t="s">
        <v>232</v>
      </c>
    </row>
    <row r="21" spans="13:51" x14ac:dyDescent="0.25">
      <c r="M21" s="22">
        <v>15</v>
      </c>
      <c r="N21" s="31" t="s">
        <v>121</v>
      </c>
      <c r="O21" s="31" t="s">
        <v>12</v>
      </c>
      <c r="P21" s="31" t="s">
        <v>35</v>
      </c>
      <c r="Q21" s="23">
        <v>5</v>
      </c>
      <c r="R21" s="23">
        <v>3</v>
      </c>
      <c r="S21" s="23">
        <f t="shared" si="0"/>
        <v>15</v>
      </c>
      <c r="T21" s="23" t="s">
        <v>42</v>
      </c>
      <c r="V21" s="31">
        <v>19</v>
      </c>
      <c r="W21" s="31" t="s">
        <v>35</v>
      </c>
      <c r="AU21" s="22" t="s">
        <v>226</v>
      </c>
      <c r="AV21" s="22" t="s">
        <v>124</v>
      </c>
      <c r="AW21" s="22" t="str">
        <f t="shared" si="1"/>
        <v>RaraExtremo</v>
      </c>
      <c r="AX21" s="22">
        <v>4</v>
      </c>
      <c r="AY21" s="22" t="s">
        <v>232</v>
      </c>
    </row>
    <row r="22" spans="13:51" x14ac:dyDescent="0.25">
      <c r="M22" s="22">
        <v>15</v>
      </c>
      <c r="N22" s="31" t="s">
        <v>121</v>
      </c>
      <c r="O22" s="31" t="s">
        <v>17</v>
      </c>
      <c r="P22" s="31" t="s">
        <v>35</v>
      </c>
      <c r="Q22" s="23">
        <v>3</v>
      </c>
      <c r="R22" s="23">
        <v>5</v>
      </c>
      <c r="S22" s="23">
        <f t="shared" si="0"/>
        <v>15</v>
      </c>
      <c r="T22" s="23" t="s">
        <v>42</v>
      </c>
      <c r="V22" s="32">
        <v>20</v>
      </c>
      <c r="W22" s="32" t="s">
        <v>36</v>
      </c>
      <c r="AU22" s="22" t="s">
        <v>226</v>
      </c>
      <c r="AV22" s="22" t="s">
        <v>123</v>
      </c>
      <c r="AW22" s="22" t="str">
        <f t="shared" si="1"/>
        <v>Poco ProbableExtremo</v>
      </c>
      <c r="AX22" s="22">
        <v>4</v>
      </c>
      <c r="AY22" s="22" t="s">
        <v>232</v>
      </c>
    </row>
    <row r="23" spans="13:51" x14ac:dyDescent="0.25">
      <c r="M23" s="22">
        <v>16</v>
      </c>
      <c r="N23" s="31" t="s">
        <v>121</v>
      </c>
      <c r="O23" s="31" t="s">
        <v>18</v>
      </c>
      <c r="P23" s="31" t="s">
        <v>35</v>
      </c>
      <c r="Q23" s="23">
        <v>4</v>
      </c>
      <c r="R23" s="23">
        <v>4</v>
      </c>
      <c r="S23" s="23">
        <f t="shared" si="0"/>
        <v>16</v>
      </c>
      <c r="T23" s="23" t="s">
        <v>42</v>
      </c>
      <c r="V23" s="32">
        <v>21</v>
      </c>
      <c r="W23" s="32" t="s">
        <v>36</v>
      </c>
      <c r="AU23" s="22" t="s">
        <v>232</v>
      </c>
      <c r="AV23" s="22" t="s">
        <v>229</v>
      </c>
      <c r="AW23" s="22" t="str">
        <f t="shared" si="1"/>
        <v>Casi ciertaAlto</v>
      </c>
      <c r="AX23" s="22">
        <v>5</v>
      </c>
      <c r="AY23" s="22" t="s">
        <v>226</v>
      </c>
    </row>
    <row r="24" spans="13:51" x14ac:dyDescent="0.25">
      <c r="M24" s="22">
        <v>20</v>
      </c>
      <c r="N24" s="32" t="s">
        <v>121</v>
      </c>
      <c r="O24" s="32" t="s">
        <v>18</v>
      </c>
      <c r="P24" s="32" t="s">
        <v>36</v>
      </c>
      <c r="Q24" s="23">
        <v>5</v>
      </c>
      <c r="R24" s="23">
        <v>4</v>
      </c>
      <c r="S24" s="23">
        <f t="shared" si="0"/>
        <v>20</v>
      </c>
      <c r="T24" s="23" t="s">
        <v>42</v>
      </c>
      <c r="V24" s="32">
        <v>22</v>
      </c>
      <c r="W24" s="32" t="s">
        <v>36</v>
      </c>
      <c r="AU24" s="22" t="s">
        <v>226</v>
      </c>
      <c r="AV24" s="22" t="s">
        <v>125</v>
      </c>
      <c r="AW24" s="22" t="str">
        <f t="shared" si="1"/>
        <v>ModeradaExtremo</v>
      </c>
      <c r="AX24" s="22">
        <v>5</v>
      </c>
      <c r="AY24" s="22" t="s">
        <v>226</v>
      </c>
    </row>
    <row r="25" spans="13:51" x14ac:dyDescent="0.25">
      <c r="M25" s="22">
        <v>20</v>
      </c>
      <c r="N25" s="32" t="s">
        <v>121</v>
      </c>
      <c r="O25" s="32" t="s">
        <v>17</v>
      </c>
      <c r="P25" s="32" t="s">
        <v>36</v>
      </c>
      <c r="Q25" s="23">
        <v>4</v>
      </c>
      <c r="R25" s="23">
        <v>5</v>
      </c>
      <c r="S25" s="23">
        <f t="shared" si="0"/>
        <v>20</v>
      </c>
      <c r="T25" s="23" t="s">
        <v>42</v>
      </c>
      <c r="V25" s="32">
        <v>23</v>
      </c>
      <c r="W25" s="32" t="s">
        <v>36</v>
      </c>
      <c r="AU25" s="22" t="s">
        <v>226</v>
      </c>
      <c r="AV25" s="22" t="s">
        <v>122</v>
      </c>
      <c r="AW25" s="22" t="str">
        <f t="shared" si="1"/>
        <v>ProbableExtremo</v>
      </c>
      <c r="AX25" s="22">
        <v>5</v>
      </c>
      <c r="AY25" s="22" t="s">
        <v>226</v>
      </c>
    </row>
    <row r="26" spans="13:51" x14ac:dyDescent="0.25">
      <c r="M26" s="22">
        <v>25</v>
      </c>
      <c r="N26" s="32" t="s">
        <v>121</v>
      </c>
      <c r="O26" s="32" t="s">
        <v>17</v>
      </c>
      <c r="P26" s="32" t="s">
        <v>36</v>
      </c>
      <c r="Q26" s="23">
        <v>5</v>
      </c>
      <c r="R26" s="23">
        <v>5</v>
      </c>
      <c r="S26" s="23">
        <f t="shared" si="0"/>
        <v>25</v>
      </c>
      <c r="T26" s="23" t="s">
        <v>42</v>
      </c>
      <c r="V26" s="32">
        <v>24</v>
      </c>
      <c r="W26" s="32" t="s">
        <v>36</v>
      </c>
      <c r="AU26" s="22" t="s">
        <v>226</v>
      </c>
      <c r="AV26" s="22" t="s">
        <v>229</v>
      </c>
      <c r="AW26" s="22" t="str">
        <f t="shared" si="1"/>
        <v>Casi ciertaExtremo</v>
      </c>
      <c r="AX26" s="22">
        <v>5</v>
      </c>
      <c r="AY26" s="22" t="s">
        <v>226</v>
      </c>
    </row>
    <row r="27" spans="13:51" x14ac:dyDescent="0.25">
      <c r="V27" s="32">
        <v>25</v>
      </c>
      <c r="W27" s="32" t="s">
        <v>36</v>
      </c>
    </row>
    <row r="28" spans="13:51" x14ac:dyDescent="0.25">
      <c r="V28" s="119">
        <v>26</v>
      </c>
      <c r="W28" s="119" t="s">
        <v>36</v>
      </c>
    </row>
    <row r="29" spans="13:51" x14ac:dyDescent="0.25">
      <c r="V29" s="120"/>
      <c r="W29" s="120"/>
    </row>
  </sheetData>
  <autoFilter ref="M1:T26"/>
  <sortState ref="M2:S26">
    <sortCondition ref="M2:M26"/>
  </sortState>
  <phoneticPr fontId="34" type="noConversion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showGridLines="0" workbookViewId="0">
      <selection activeCell="I9" sqref="I9"/>
    </sheetView>
  </sheetViews>
  <sheetFormatPr baseColWidth="10" defaultRowHeight="15" x14ac:dyDescent="0.25"/>
  <cols>
    <col min="3" max="3" width="7.140625" bestFit="1" customWidth="1"/>
    <col min="4" max="4" width="15.140625" customWidth="1"/>
    <col min="5" max="5" width="25.28515625" customWidth="1"/>
    <col min="6" max="6" width="32" customWidth="1"/>
    <col min="7" max="7" width="26.42578125" customWidth="1"/>
    <col min="8" max="8" width="27" customWidth="1"/>
  </cols>
  <sheetData>
    <row r="3" spans="2:9" x14ac:dyDescent="0.25">
      <c r="B3" s="320"/>
      <c r="C3" s="320"/>
      <c r="D3" s="320"/>
      <c r="E3" s="320"/>
      <c r="F3" s="320"/>
      <c r="G3" s="320"/>
      <c r="H3" s="320"/>
      <c r="I3" s="320"/>
    </row>
    <row r="4" spans="2:9" x14ac:dyDescent="0.25">
      <c r="B4" s="320"/>
      <c r="C4" s="318" t="s">
        <v>283</v>
      </c>
      <c r="D4" s="318"/>
      <c r="E4" s="318"/>
      <c r="F4" s="318"/>
      <c r="G4" s="318"/>
      <c r="H4" s="318"/>
      <c r="I4" s="320"/>
    </row>
    <row r="5" spans="2:9" ht="15.75" thickBot="1" x14ac:dyDescent="0.3">
      <c r="B5" s="320"/>
      <c r="C5" s="320"/>
      <c r="D5" s="320"/>
      <c r="E5" s="320"/>
      <c r="F5" s="320"/>
      <c r="G5" s="320"/>
      <c r="H5" s="320"/>
      <c r="I5" s="320"/>
    </row>
    <row r="6" spans="2:9" ht="30.75" thickTop="1" x14ac:dyDescent="0.25">
      <c r="B6" s="320"/>
      <c r="C6" s="321" t="s">
        <v>268</v>
      </c>
      <c r="D6" s="322" t="s">
        <v>269</v>
      </c>
      <c r="E6" s="322" t="s">
        <v>270</v>
      </c>
      <c r="F6" s="322" t="s">
        <v>271</v>
      </c>
      <c r="G6" s="322" t="s">
        <v>272</v>
      </c>
      <c r="H6" s="323" t="s">
        <v>273</v>
      </c>
      <c r="I6" s="320"/>
    </row>
    <row r="7" spans="2:9" ht="42.75" x14ac:dyDescent="0.25">
      <c r="B7" s="320"/>
      <c r="C7" s="324">
        <v>1</v>
      </c>
      <c r="D7" s="319" t="s">
        <v>230</v>
      </c>
      <c r="E7" s="319" t="s">
        <v>285</v>
      </c>
      <c r="F7" s="319" t="s">
        <v>289</v>
      </c>
      <c r="G7" s="319" t="s">
        <v>292</v>
      </c>
      <c r="H7" s="325" t="s">
        <v>275</v>
      </c>
      <c r="I7" s="320"/>
    </row>
    <row r="8" spans="2:9" ht="42.75" x14ac:dyDescent="0.25">
      <c r="B8" s="320"/>
      <c r="C8" s="324">
        <v>2</v>
      </c>
      <c r="D8" s="319" t="s">
        <v>233</v>
      </c>
      <c r="E8" s="319" t="s">
        <v>284</v>
      </c>
      <c r="F8" s="319" t="s">
        <v>290</v>
      </c>
      <c r="G8" s="319" t="s">
        <v>293</v>
      </c>
      <c r="H8" s="325" t="s">
        <v>277</v>
      </c>
      <c r="I8" s="320"/>
    </row>
    <row r="9" spans="2:9" ht="42.75" x14ac:dyDescent="0.25">
      <c r="B9" s="320"/>
      <c r="C9" s="324">
        <v>3</v>
      </c>
      <c r="D9" s="319" t="s">
        <v>231</v>
      </c>
      <c r="E9" s="319" t="s">
        <v>286</v>
      </c>
      <c r="F9" s="319" t="s">
        <v>278</v>
      </c>
      <c r="G9" s="319" t="s">
        <v>274</v>
      </c>
      <c r="H9" s="325" t="s">
        <v>279</v>
      </c>
      <c r="I9" s="320"/>
    </row>
    <row r="10" spans="2:9" ht="71.25" x14ac:dyDescent="0.25">
      <c r="B10" s="320"/>
      <c r="C10" s="324">
        <v>4</v>
      </c>
      <c r="D10" s="319" t="s">
        <v>232</v>
      </c>
      <c r="E10" s="319" t="s">
        <v>288</v>
      </c>
      <c r="F10" s="319" t="s">
        <v>280</v>
      </c>
      <c r="G10" s="319" t="s">
        <v>276</v>
      </c>
      <c r="H10" s="325" t="s">
        <v>294</v>
      </c>
      <c r="I10" s="320"/>
    </row>
    <row r="11" spans="2:9" ht="57.75" thickBot="1" x14ac:dyDescent="0.3">
      <c r="B11" s="320"/>
      <c r="C11" s="326">
        <v>5</v>
      </c>
      <c r="D11" s="327" t="s">
        <v>281</v>
      </c>
      <c r="E11" s="327" t="s">
        <v>287</v>
      </c>
      <c r="F11" s="327" t="s">
        <v>282</v>
      </c>
      <c r="G11" s="327" t="s">
        <v>291</v>
      </c>
      <c r="H11" s="328" t="s">
        <v>295</v>
      </c>
      <c r="I11" s="320"/>
    </row>
    <row r="12" spans="2:9" ht="15.75" thickTop="1" x14ac:dyDescent="0.25">
      <c r="B12" s="320"/>
      <c r="C12" s="320"/>
      <c r="D12" s="320"/>
      <c r="E12" s="320"/>
      <c r="F12" s="320"/>
      <c r="G12" s="320"/>
      <c r="H12" s="320"/>
      <c r="I12" s="320"/>
    </row>
  </sheetData>
  <mergeCells count="1">
    <mergeCell ref="C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F18"/>
  <sheetViews>
    <sheetView workbookViewId="0"/>
  </sheetViews>
  <sheetFormatPr baseColWidth="10" defaultColWidth="11.42578125" defaultRowHeight="14.25" x14ac:dyDescent="0.2"/>
  <cols>
    <col min="1" max="2" width="11.42578125" style="17"/>
    <col min="3" max="3" width="4.7109375" style="17" customWidth="1"/>
    <col min="4" max="4" width="106" style="17" customWidth="1"/>
    <col min="5" max="5" width="4.7109375" style="17" customWidth="1"/>
    <col min="6" max="16384" width="11.42578125" style="17"/>
  </cols>
  <sheetData>
    <row r="3" spans="2:6" x14ac:dyDescent="0.2">
      <c r="B3" s="140"/>
      <c r="C3" s="140"/>
      <c r="D3" s="140"/>
      <c r="E3" s="140"/>
      <c r="F3" s="140"/>
    </row>
    <row r="4" spans="2:6" ht="15" thickBot="1" x14ac:dyDescent="0.25">
      <c r="B4" s="140"/>
      <c r="C4" s="140"/>
      <c r="D4" s="140"/>
      <c r="E4" s="140"/>
      <c r="F4" s="140"/>
    </row>
    <row r="5" spans="2:6" ht="16.5" thickTop="1" thickBot="1" x14ac:dyDescent="0.3">
      <c r="B5" s="140"/>
      <c r="C5" s="140"/>
      <c r="D5" s="141" t="s">
        <v>133</v>
      </c>
      <c r="E5" s="140"/>
      <c r="F5" s="140"/>
    </row>
    <row r="6" spans="2:6" ht="16.5" thickTop="1" thickBot="1" x14ac:dyDescent="0.3">
      <c r="B6" s="140"/>
      <c r="C6" s="140"/>
      <c r="D6" s="142"/>
      <c r="E6" s="140"/>
      <c r="F6" s="140"/>
    </row>
    <row r="7" spans="2:6" ht="15" thickTop="1" x14ac:dyDescent="0.2">
      <c r="B7" s="140"/>
      <c r="C7" s="143"/>
      <c r="D7" s="144"/>
      <c r="E7" s="145"/>
      <c r="F7" s="140"/>
    </row>
    <row r="8" spans="2:6" ht="15" x14ac:dyDescent="0.25">
      <c r="B8" s="140"/>
      <c r="C8" s="146"/>
      <c r="D8" s="147" t="s">
        <v>134</v>
      </c>
      <c r="E8" s="148"/>
      <c r="F8" s="140"/>
    </row>
    <row r="9" spans="2:6" ht="63.75" customHeight="1" x14ac:dyDescent="0.2">
      <c r="B9" s="140"/>
      <c r="C9" s="146"/>
      <c r="D9" s="247" t="str">
        <f>+CONCATENATE(MENU!E4," atendiendo lo establecido en el capítulo X de la circular básica jurídica de la Superintendencia de Sociedades en lo relacionado con el numeral  Etapas del SAGRILAFT,"," y siguiendo los lineamientos de normas y estándares internacionales, ha desarrollado la presente matriiz de riesgos de LA/FT/FPADM.")</f>
        <v>CIMENTO INMUEBLES COMERCIALES S.A.S  atendiendo lo establecido en el capítulo X de la circular básica jurídica de la Superintendencia de Sociedades en lo relacionado con el numeral  Etapas del SAGRILAFT, y siguiendo los lineamientos de normas y estándares internacionales, ha desarrollado la presente matriiz de riesgos de LA/FT/FPADM.</v>
      </c>
      <c r="E9" s="148"/>
      <c r="F9" s="140"/>
    </row>
    <row r="10" spans="2:6" x14ac:dyDescent="0.2">
      <c r="B10" s="140"/>
      <c r="C10" s="146"/>
      <c r="D10" s="136"/>
      <c r="E10" s="148"/>
      <c r="F10" s="140"/>
    </row>
    <row r="11" spans="2:6" ht="15" x14ac:dyDescent="0.25">
      <c r="B11" s="140"/>
      <c r="C11" s="146"/>
      <c r="D11" s="147" t="s">
        <v>135</v>
      </c>
      <c r="E11" s="148"/>
      <c r="F11" s="140"/>
    </row>
    <row r="12" spans="2:6" ht="42.75" x14ac:dyDescent="0.2">
      <c r="B12" s="140"/>
      <c r="C12" s="146"/>
      <c r="D12" s="246" t="str">
        <f>+CONCATENATE(MENU!E4," mide el riesgo LA/FT/FPADM a partir de la metodología contenida en el numeral 5.4.2 de la NTC ISO 31000 del ICONTEC,"," teniendo en cuenta la distribución de los clientes en los diferentes segmentos, sus operaciones y los riesgos/tipologías identificados previamente.")</f>
        <v>CIMENTO INMUEBLES COMERCIALES S.A.S  mide el riesgo LA/FT/FPADM a partir de la metodología contenida en el numeral 5.4.2 de la NTC ISO 31000 del ICONTEC, teniendo en cuenta la distribución de los clientes en los diferentes segmentos, sus operaciones y los riesgos/tipologías identificados previamente.</v>
      </c>
      <c r="E12" s="148"/>
      <c r="F12" s="140"/>
    </row>
    <row r="13" spans="2:6" x14ac:dyDescent="0.2">
      <c r="B13" s="140"/>
      <c r="C13" s="146"/>
      <c r="D13" s="136"/>
      <c r="E13" s="148"/>
      <c r="F13" s="140"/>
    </row>
    <row r="14" spans="2:6" ht="15" x14ac:dyDescent="0.25">
      <c r="B14" s="140"/>
      <c r="C14" s="146"/>
      <c r="D14" s="147"/>
      <c r="E14" s="148"/>
      <c r="F14" s="140"/>
    </row>
    <row r="15" spans="2:6" ht="22.5" customHeight="1" x14ac:dyDescent="0.2">
      <c r="B15" s="140"/>
      <c r="C15" s="146"/>
      <c r="D15" s="149"/>
      <c r="E15" s="148"/>
      <c r="F15" s="140"/>
    </row>
    <row r="16" spans="2:6" ht="22.5" customHeight="1" thickBot="1" x14ac:dyDescent="0.25">
      <c r="B16" s="140"/>
      <c r="C16" s="150"/>
      <c r="D16" s="151"/>
      <c r="E16" s="152"/>
      <c r="F16" s="140"/>
    </row>
    <row r="17" spans="2:6" ht="15" thickTop="1" x14ac:dyDescent="0.2">
      <c r="B17" s="140"/>
      <c r="C17" s="140"/>
      <c r="D17" s="140"/>
      <c r="E17" s="140"/>
      <c r="F17" s="140"/>
    </row>
    <row r="18" spans="2:6" x14ac:dyDescent="0.2">
      <c r="B18" s="140"/>
      <c r="C18" s="140"/>
      <c r="D18" s="140"/>
      <c r="E18" s="140"/>
      <c r="F18" s="14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4:J42"/>
  <sheetViews>
    <sheetView showGridLines="0" topLeftCell="A34" workbookViewId="0">
      <selection activeCell="I9" sqref="I9"/>
    </sheetView>
  </sheetViews>
  <sheetFormatPr baseColWidth="10" defaultColWidth="11.42578125" defaultRowHeight="12.75" x14ac:dyDescent="0.2"/>
  <cols>
    <col min="1" max="1" width="5.85546875" style="18" customWidth="1"/>
    <col min="2" max="2" width="4.42578125" style="18" customWidth="1"/>
    <col min="3" max="3" width="7.7109375" style="18" customWidth="1"/>
    <col min="4" max="4" width="1.7109375" style="18" customWidth="1"/>
    <col min="5" max="5" width="11.42578125" style="155"/>
    <col min="6" max="6" width="31" style="18" customWidth="1"/>
    <col min="7" max="7" width="82.42578125" style="18" customWidth="1"/>
    <col min="8" max="8" width="16.7109375" style="18" customWidth="1"/>
    <col min="9" max="9" width="4.7109375" style="18" customWidth="1"/>
    <col min="10" max="16384" width="11.42578125" style="18"/>
  </cols>
  <sheetData>
    <row r="4" spans="3:10" x14ac:dyDescent="0.2">
      <c r="C4" s="153"/>
      <c r="D4" s="153"/>
      <c r="E4" s="156"/>
      <c r="F4" s="153"/>
      <c r="G4" s="153"/>
      <c r="H4" s="153"/>
      <c r="I4" s="153"/>
      <c r="J4" s="153"/>
    </row>
    <row r="5" spans="3:10" ht="13.5" thickBot="1" x14ac:dyDescent="0.25">
      <c r="C5" s="153"/>
      <c r="D5" s="153"/>
      <c r="E5" s="156"/>
      <c r="F5" s="153"/>
      <c r="G5" s="153"/>
      <c r="H5" s="153"/>
      <c r="I5" s="153"/>
      <c r="J5" s="153"/>
    </row>
    <row r="6" spans="3:10" ht="14.25" thickTop="1" thickBot="1" x14ac:dyDescent="0.25">
      <c r="C6" s="153"/>
      <c r="D6" s="153"/>
      <c r="E6" s="156"/>
      <c r="F6" s="253" t="s">
        <v>141</v>
      </c>
      <c r="G6" s="254"/>
      <c r="H6" s="167"/>
      <c r="I6" s="154"/>
      <c r="J6" s="153"/>
    </row>
    <row r="7" spans="3:10" ht="14.25" thickTop="1" thickBot="1" x14ac:dyDescent="0.25">
      <c r="C7" s="153"/>
      <c r="D7" s="153"/>
      <c r="E7" s="156"/>
      <c r="F7" s="154"/>
      <c r="G7" s="154"/>
      <c r="H7" s="154"/>
      <c r="I7" s="154"/>
      <c r="J7" s="153"/>
    </row>
    <row r="8" spans="3:10" ht="13.5" thickTop="1" x14ac:dyDescent="0.2">
      <c r="C8" s="153"/>
      <c r="D8" s="157"/>
      <c r="E8" s="158"/>
      <c r="F8" s="159" t="s">
        <v>140</v>
      </c>
      <c r="G8" s="160"/>
      <c r="H8" s="160"/>
      <c r="I8" s="161"/>
      <c r="J8" s="153"/>
    </row>
    <row r="9" spans="3:10" x14ac:dyDescent="0.2">
      <c r="C9" s="153"/>
      <c r="D9" s="162"/>
      <c r="E9" s="163"/>
      <c r="F9" s="164"/>
      <c r="G9" s="164"/>
      <c r="H9" s="164"/>
      <c r="I9" s="165"/>
      <c r="J9" s="153"/>
    </row>
    <row r="10" spans="3:10" ht="40.5" customHeight="1" x14ac:dyDescent="0.2">
      <c r="C10" s="153"/>
      <c r="D10" s="162"/>
      <c r="E10" s="163"/>
      <c r="F10" s="255" t="str">
        <f>CONCATENATE(MENU!E4, "tiene como actividades principales: Estructurar, diseñar, gerenciar, promocionar, comercializar (en venta y/o arriendo), remodelar administrar y operar en el territorio de Colombia proyectos comerciales y/o empresariales. ")</f>
        <v xml:space="preserve">CIMENTO INMUEBLES COMERCIALES S.A.S tiene como actividades principales: Estructurar, diseñar, gerenciar, promocionar, comercializar (en venta y/o arriendo), remodelar administrar y operar en el territorio de Colombia proyectos comerciales y/o empresariales. </v>
      </c>
      <c r="G10" s="255"/>
      <c r="H10" s="164"/>
      <c r="I10" s="165"/>
      <c r="J10" s="153"/>
    </row>
    <row r="11" spans="3:10" x14ac:dyDescent="0.2">
      <c r="C11" s="153"/>
      <c r="D11" s="162"/>
      <c r="E11" s="163"/>
      <c r="F11" s="164"/>
      <c r="G11" s="164"/>
      <c r="H11" s="164"/>
      <c r="I11" s="165"/>
      <c r="J11" s="153"/>
    </row>
    <row r="12" spans="3:10" x14ac:dyDescent="0.2">
      <c r="C12" s="153"/>
      <c r="D12" s="162"/>
      <c r="E12" s="163"/>
      <c r="F12" s="164"/>
      <c r="G12" s="164"/>
      <c r="H12" s="164"/>
      <c r="I12" s="165"/>
      <c r="J12" s="153"/>
    </row>
    <row r="13" spans="3:10" x14ac:dyDescent="0.2">
      <c r="C13" s="153"/>
      <c r="D13" s="162"/>
      <c r="E13" s="163"/>
      <c r="F13" s="164"/>
      <c r="G13" s="164"/>
      <c r="H13" s="164"/>
      <c r="I13" s="165"/>
      <c r="J13" s="153"/>
    </row>
    <row r="14" spans="3:10" x14ac:dyDescent="0.2">
      <c r="C14" s="153"/>
      <c r="D14" s="162"/>
      <c r="E14" s="163"/>
      <c r="F14" s="166" t="s">
        <v>139</v>
      </c>
      <c r="G14" s="164"/>
      <c r="H14" s="164"/>
      <c r="I14" s="165"/>
      <c r="J14" s="153"/>
    </row>
    <row r="15" spans="3:10" x14ac:dyDescent="0.2">
      <c r="C15" s="153"/>
      <c r="D15" s="162"/>
      <c r="E15" s="163"/>
      <c r="F15" s="164" t="str">
        <f>+CONCATENATE(MENU!E4, "Cuenta con una nómina de empleados directa de ___ funcionarios.")</f>
        <v>CIMENTO INMUEBLES COMERCIALES S.A.S Cuenta con una nómina de empleados directa de ___ funcionarios.</v>
      </c>
      <c r="G15" s="164"/>
      <c r="H15" s="164"/>
      <c r="I15" s="165"/>
      <c r="J15" s="153"/>
    </row>
    <row r="16" spans="3:10" x14ac:dyDescent="0.2">
      <c r="C16" s="153"/>
      <c r="D16" s="162"/>
      <c r="E16" s="163"/>
      <c r="F16" s="164"/>
      <c r="G16" s="164"/>
      <c r="H16" s="164"/>
      <c r="I16" s="165"/>
      <c r="J16" s="153"/>
    </row>
    <row r="17" spans="3:10" x14ac:dyDescent="0.2">
      <c r="C17" s="153"/>
      <c r="D17" s="162"/>
      <c r="E17" s="163"/>
      <c r="F17" s="166" t="s">
        <v>245</v>
      </c>
      <c r="G17" s="164"/>
      <c r="H17" s="164"/>
      <c r="I17" s="165"/>
      <c r="J17" s="153"/>
    </row>
    <row r="18" spans="3:10" x14ac:dyDescent="0.2">
      <c r="C18" s="153"/>
      <c r="D18" s="162"/>
      <c r="E18" s="163"/>
      <c r="F18" s="153"/>
      <c r="G18" s="164"/>
      <c r="H18" s="164"/>
      <c r="I18" s="165"/>
      <c r="J18" s="153"/>
    </row>
    <row r="19" spans="3:10" x14ac:dyDescent="0.2">
      <c r="C19" s="153"/>
      <c r="D19" s="162"/>
      <c r="E19" s="173" t="s">
        <v>170</v>
      </c>
      <c r="F19" s="174" t="s">
        <v>138</v>
      </c>
      <c r="G19" s="174" t="s">
        <v>137</v>
      </c>
      <c r="H19" s="174" t="s">
        <v>207</v>
      </c>
      <c r="I19" s="174"/>
      <c r="J19" s="153"/>
    </row>
    <row r="20" spans="3:10" ht="51" x14ac:dyDescent="0.2">
      <c r="C20" s="153"/>
      <c r="D20" s="162"/>
      <c r="E20" s="175">
        <f>+'RIESGO INHERENTE'!A12</f>
        <v>1</v>
      </c>
      <c r="F20" s="176" t="str">
        <f>+'RIESGO INHERENTE'!C12</f>
        <v>Contrapartes (Clientes, Proveedores, Empleados, Accionistas, Vinculados) y Partes interesadas.</v>
      </c>
      <c r="G20" s="177" t="str">
        <f>+'RIESGO INHERENTE'!B12</f>
        <v>Operar con personas que sean reconocidas como lavadores de activos, terroristas o financiadores del terrorismo que se encuentren referenciadas en listas restrictivas</v>
      </c>
      <c r="H20" s="177" t="str">
        <f>+VLOOKUP(E20,'RIESGO INHERENTE'!A:N,4,0)</f>
        <v>Operaciones</v>
      </c>
      <c r="I20" s="177"/>
      <c r="J20" s="153"/>
    </row>
    <row r="21" spans="3:10" ht="51" x14ac:dyDescent="0.2">
      <c r="C21" s="153"/>
      <c r="D21" s="162"/>
      <c r="E21" s="175">
        <f>+'RIESGO INHERENTE'!A13</f>
        <v>2</v>
      </c>
      <c r="F21" s="176" t="str">
        <f>+'RIESGO INHERENTE'!C13</f>
        <v>Contrapartes (Clientes, Proveedores, Empleados, Accionistas, Vinculados) y Partes interesadas.</v>
      </c>
      <c r="G21" s="177" t="str">
        <f>+'RIESGO INHERENTE'!B13</f>
        <v>Operar con personas que presentan documentación falsa para realizar operaciones de LA/FT/FPADM.</v>
      </c>
      <c r="H21" s="177" t="str">
        <f>+VLOOKUP(E21,'RIESGO INHERENTE'!A:N,4,0)</f>
        <v>Comercial</v>
      </c>
      <c r="I21" s="177"/>
      <c r="J21" s="153"/>
    </row>
    <row r="22" spans="3:10" ht="28.5" x14ac:dyDescent="0.2">
      <c r="C22" s="153"/>
      <c r="D22" s="162"/>
      <c r="E22" s="175">
        <f>+'RIESGO INHERENTE'!A14</f>
        <v>3</v>
      </c>
      <c r="F22" s="176" t="str">
        <f>+'RIESGO INHERENTE'!C14</f>
        <v>Canal de Distribución</v>
      </c>
      <c r="G22" s="177" t="str">
        <f>+'RIESGO INHERENTE'!B14</f>
        <v>Utilización de estructuras societarias complejas para canalizar fondos provenientes del delito de corrupción (tipologías regionales de gafilat: 2009 - 2016)</v>
      </c>
      <c r="H22" s="177" t="str">
        <f>+VLOOKUP(E22,'RIESGO INHERENTE'!A:N,4,0)</f>
        <v>Jurídica</v>
      </c>
      <c r="I22" s="177"/>
      <c r="J22" s="153"/>
    </row>
    <row r="23" spans="3:10" ht="51" x14ac:dyDescent="0.2">
      <c r="C23" s="153"/>
      <c r="D23" s="162"/>
      <c r="E23" s="175">
        <f>+'RIESGO INHERENTE'!A15</f>
        <v>4</v>
      </c>
      <c r="F23" s="176" t="str">
        <f>+'RIESGO INHERENTE'!C15</f>
        <v>Contrapartes (Clientes, Proveedores, Empleados, Accionistas, Vinculados) y Partes interesadas.</v>
      </c>
      <c r="G23" s="177" t="str">
        <f>+'RIESGO INHERENTE'!B15</f>
        <v>No se realiza un adecuado conocimiento del cliente / beneficiario final.</v>
      </c>
      <c r="H23" s="177" t="str">
        <f>+VLOOKUP(E23,'RIESGO INHERENTE'!A:N,4,0)</f>
        <v>Comercial</v>
      </c>
      <c r="I23" s="177"/>
      <c r="J23" s="153"/>
    </row>
    <row r="24" spans="3:10" ht="51" x14ac:dyDescent="0.2">
      <c r="C24" s="153"/>
      <c r="D24" s="162"/>
      <c r="E24" s="175">
        <f>+'RIESGO INHERENTE'!A16</f>
        <v>5</v>
      </c>
      <c r="F24" s="176" t="str">
        <f>+'RIESGO INHERENTE'!C16</f>
        <v>Contrapartes (Clientes, Proveedores, Empleados, Accionistas, Vinculados) y Partes interesadas.</v>
      </c>
      <c r="G24" s="177" t="str">
        <f>+'RIESGO INHERENTE'!B16</f>
        <v xml:space="preserve">Pago de facturas a un tercero sin verificar listas de control. </v>
      </c>
      <c r="H24" s="177" t="str">
        <f>+VLOOKUP(E24,'RIESGO INHERENTE'!A:N,4,0)</f>
        <v>Operaciones</v>
      </c>
      <c r="I24" s="177"/>
      <c r="J24" s="153"/>
    </row>
    <row r="25" spans="3:10" ht="51" x14ac:dyDescent="0.2">
      <c r="C25" s="153"/>
      <c r="D25" s="162"/>
      <c r="E25" s="175">
        <f>+'RIESGO INHERENTE'!A17</f>
        <v>6</v>
      </c>
      <c r="F25" s="176" t="str">
        <f>+'RIESGO INHERENTE'!C17</f>
        <v>Contrapartes (Clientes, Proveedores, Empleados, Accionistas, Vinculados) y Partes interesadas.</v>
      </c>
      <c r="G25" s="177" t="str">
        <f>+'RIESGO INHERENTE'!B17</f>
        <v>Utilización de servicios de remesas y cambio de divisas, formales e informales y trasiego físico de dinero en efectivo (recopilación de tipologías regionales de gafilat: 2009 - 2016)</v>
      </c>
      <c r="H25" s="177" t="str">
        <f>+VLOOKUP(E25,'RIESGO INHERENTE'!A:N,4,0)</f>
        <v>Financiero</v>
      </c>
      <c r="I25" s="177"/>
      <c r="J25" s="153"/>
    </row>
    <row r="26" spans="3:10" ht="51" x14ac:dyDescent="0.2">
      <c r="C26" s="153"/>
      <c r="D26" s="162"/>
      <c r="E26" s="175">
        <f>+'RIESGO INHERENTE'!A18</f>
        <v>7</v>
      </c>
      <c r="F26" s="176" t="str">
        <f>+'RIESGO INHERENTE'!C18</f>
        <v>Contrapartes (Clientes, Proveedores, Empleados, Accionistas, Vinculados) y Partes interesadas.</v>
      </c>
      <c r="G26" s="177" t="str">
        <f>+'RIESGO INHERENTE'!B18</f>
        <v xml:space="preserve">No se realiza la consulta en listas de control periodicamente a proveedores que ya se encuentran vinculados </v>
      </c>
      <c r="H26" s="177" t="str">
        <f>+VLOOKUP(E26,'RIESGO INHERENTE'!A:N,4,0)</f>
        <v>Operaciones</v>
      </c>
      <c r="I26" s="177"/>
      <c r="J26" s="153"/>
    </row>
    <row r="27" spans="3:10" ht="51" x14ac:dyDescent="0.2">
      <c r="C27" s="153"/>
      <c r="D27" s="162"/>
      <c r="E27" s="175">
        <f>+'RIESGO INHERENTE'!A19</f>
        <v>8</v>
      </c>
      <c r="F27" s="176" t="str">
        <f>+'RIESGO INHERENTE'!C19</f>
        <v>Contrapartes (Clientes, Proveedores, Empleados, Accionistas, Vinculados) y Partes interesadas.</v>
      </c>
      <c r="G27" s="177" t="str">
        <f>+'RIESGO INHERENTE'!B19</f>
        <v>A los proveedores vinculados no se les realiza anualmente actualización de la información.</v>
      </c>
      <c r="H27" s="177" t="str">
        <f>+VLOOKUP(E27,'RIESGO INHERENTE'!A:N,4,0)</f>
        <v>Operaciones</v>
      </c>
      <c r="I27" s="177"/>
      <c r="J27" s="153"/>
    </row>
    <row r="28" spans="3:10" ht="51" x14ac:dyDescent="0.2">
      <c r="C28" s="153"/>
      <c r="D28" s="162"/>
      <c r="E28" s="175">
        <f>+'RIESGO INHERENTE'!A20</f>
        <v>9</v>
      </c>
      <c r="F28" s="176" t="str">
        <f>+'RIESGO INHERENTE'!C20</f>
        <v>Contrapartes (Clientes, Proveedores, Empleados, Accionistas, Vinculados) y Partes interesadas.</v>
      </c>
      <c r="G28" s="177" t="str">
        <f>+'RIESGO INHERENTE'!B20</f>
        <v>Se reciban prepagos de arrendamientos sin verificar el origen de los fondos.</v>
      </c>
      <c r="H28" s="177" t="str">
        <f>+VLOOKUP(E28,'RIESGO INHERENTE'!A:N,4,0)</f>
        <v>Comercial</v>
      </c>
      <c r="I28" s="177"/>
      <c r="J28" s="153"/>
    </row>
    <row r="29" spans="3:10" ht="51" x14ac:dyDescent="0.2">
      <c r="C29" s="153"/>
      <c r="D29" s="162"/>
      <c r="E29" s="175">
        <f>+'RIESGO INHERENTE'!A21</f>
        <v>10</v>
      </c>
      <c r="F29" s="176" t="str">
        <f>+'RIESGO INHERENTE'!C21</f>
        <v>Contrapartes (Clientes, Proveedores, Empleados, Accionistas, Vinculados) y Partes interesadas.</v>
      </c>
      <c r="G29" s="177" t="str">
        <f>+'RIESGO INHERENTE'!B21</f>
        <v>No se realiza la calificación o score de riesgo LA/FT/FPADM de los clientes previa vinculación</v>
      </c>
      <c r="H29" s="177" t="str">
        <f>+VLOOKUP(E29,'RIESGO INHERENTE'!A:N,4,0)</f>
        <v>Operaciones</v>
      </c>
      <c r="I29" s="177"/>
      <c r="J29" s="153"/>
    </row>
    <row r="30" spans="3:10" ht="51" x14ac:dyDescent="0.2">
      <c r="C30" s="153"/>
      <c r="D30" s="162"/>
      <c r="E30" s="175">
        <f>+'RIESGO INHERENTE'!A22</f>
        <v>11</v>
      </c>
      <c r="F30" s="176" t="str">
        <f>+'RIESGO INHERENTE'!C22</f>
        <v>Contrapartes (Clientes, Proveedores, Empleados, Accionistas, Vinculados) y Partes interesadas.</v>
      </c>
      <c r="G30" s="177" t="str">
        <f>+'RIESGO INHERENTE'!B22</f>
        <v>Se vinculan proveedores sin que se pueda establecer la legitimidad de sus actividades o procedencia de sus fondos.</v>
      </c>
      <c r="H30" s="177" t="str">
        <f>+VLOOKUP(E30,'RIESGO INHERENTE'!A:N,4,0)</f>
        <v>Operaciones</v>
      </c>
      <c r="I30" s="177"/>
      <c r="J30" s="153"/>
    </row>
    <row r="31" spans="3:10" ht="51" x14ac:dyDescent="0.2">
      <c r="C31" s="153"/>
      <c r="D31" s="162"/>
      <c r="E31" s="175">
        <f>+'RIESGO INHERENTE'!A23</f>
        <v>12</v>
      </c>
      <c r="F31" s="176" t="str">
        <f>+'RIESGO INHERENTE'!C23</f>
        <v>Contrapartes (Clientes, Proveedores, Empleados, Accionistas, Vinculados) y Partes interesadas.</v>
      </c>
      <c r="G31" s="177" t="str">
        <f>+'RIESGO INHERENTE'!B23</f>
        <v>Se vinculen proveedores nacionales o extranjeros ubicados en jurisdicciones consideradas como Alto Riesgo</v>
      </c>
      <c r="H31" s="177" t="str">
        <f>+VLOOKUP(E31,'RIESGO INHERENTE'!A:N,4,0)</f>
        <v>Comercial</v>
      </c>
      <c r="I31" s="177"/>
      <c r="J31" s="153"/>
    </row>
    <row r="32" spans="3:10" ht="42.75" x14ac:dyDescent="0.2">
      <c r="C32" s="153"/>
      <c r="D32" s="162"/>
      <c r="E32" s="175">
        <f>+'RIESGO INHERENTE'!A24</f>
        <v>13</v>
      </c>
      <c r="F32" s="176" t="str">
        <f>+'RIESGO INHERENTE'!C24</f>
        <v>Producto</v>
      </c>
      <c r="G32" s="177" t="str">
        <f>+'RIESGO INHERENTE'!B24</f>
        <v>Se creen productos o nuevas líneas de negocio sin un análisis previo de su vulnerabilidad por parte del Oficial de Cumplimiento de impacto frente al riesgo de LA/FT/FPADM.</v>
      </c>
      <c r="H32" s="177" t="str">
        <f>+VLOOKUP(E32,'RIESGO INHERENTE'!A:N,4,0)</f>
        <v>Nuevos desarrollos</v>
      </c>
      <c r="I32" s="177"/>
      <c r="J32" s="153"/>
    </row>
    <row r="33" spans="3:10" ht="28.5" x14ac:dyDescent="0.2">
      <c r="C33" s="153"/>
      <c r="D33" s="162"/>
      <c r="E33" s="175">
        <f>+'RIESGO INHERENTE'!A25</f>
        <v>14</v>
      </c>
      <c r="F33" s="176" t="str">
        <f>+'RIESGO INHERENTE'!C25</f>
        <v>Canal de Distribución</v>
      </c>
      <c r="G33" s="177" t="str">
        <f>+'RIESGO INHERENTE'!B25</f>
        <v xml:space="preserve">Utilización de figuras societarias y testaferros para el lavado de activos por parte de una organización delictiva dedicada al tráfico de drogas </v>
      </c>
      <c r="H33" s="177" t="str">
        <f>+VLOOKUP(E33,'RIESGO INHERENTE'!A:N,4,0)</f>
        <v>Jurídica</v>
      </c>
      <c r="I33" s="177"/>
      <c r="J33" s="153"/>
    </row>
    <row r="34" spans="3:10" ht="28.5" x14ac:dyDescent="0.2">
      <c r="C34" s="153"/>
      <c r="D34" s="162"/>
      <c r="E34" s="175">
        <f>+'RIESGO INHERENTE'!A26</f>
        <v>15</v>
      </c>
      <c r="F34" s="176" t="str">
        <f>+'RIESGO INHERENTE'!C26</f>
        <v>Jurisdicción</v>
      </c>
      <c r="G34" s="177" t="str">
        <f>+'RIESGO INHERENTE'!B26</f>
        <v>Lavado de activos a través del traslado transfronterizo de dinero  (recopilación de tipologías regionales de gafilat: 2009 - 2016)</v>
      </c>
      <c r="H34" s="177" t="str">
        <f>+VLOOKUP(E34,'RIESGO INHERENTE'!A:N,4,0)</f>
        <v>Financiero</v>
      </c>
      <c r="I34" s="177"/>
      <c r="J34" s="153"/>
    </row>
    <row r="35" spans="3:10" ht="28.5" x14ac:dyDescent="0.2">
      <c r="C35" s="153"/>
      <c r="D35" s="162"/>
      <c r="E35" s="175">
        <f>+'RIESGO INHERENTE'!A27</f>
        <v>16</v>
      </c>
      <c r="F35" s="176" t="str">
        <f>+'RIESGO INHERENTE'!C27</f>
        <v>Jurisdicción</v>
      </c>
      <c r="G35" s="177" t="str">
        <f>+'RIESGO INHERENTE'!B27</f>
        <v>Realizar transacciones directa o indirectamente a países que se encuentren con algún tipo de sanción o bloqueo por autoridades internacionales.</v>
      </c>
      <c r="H35" s="177" t="str">
        <f>+VLOOKUP(E35,'RIESGO INHERENTE'!A:N,4,0)</f>
        <v>Financiero</v>
      </c>
      <c r="I35" s="177"/>
      <c r="J35" s="153"/>
    </row>
    <row r="36" spans="3:10" ht="14.25" x14ac:dyDescent="0.2">
      <c r="C36" s="153"/>
      <c r="D36" s="162"/>
      <c r="E36" s="175">
        <f>+'RIESGO INHERENTE'!A28</f>
        <v>17</v>
      </c>
      <c r="F36" s="176" t="str">
        <f>+'RIESGO INHERENTE'!C28</f>
        <v>Jurisdicción</v>
      </c>
      <c r="G36" s="177" t="str">
        <f>+'RIESGO INHERENTE'!B28</f>
        <v>Se vinculen clientes ubicados en jurisdicciones consideradas como de Alto Riesgo</v>
      </c>
      <c r="H36" s="177" t="str">
        <f>+VLOOKUP(E36,'RIESGO INHERENTE'!A:N,4,0)</f>
        <v>Comercial</v>
      </c>
      <c r="I36" s="177"/>
      <c r="J36" s="153"/>
    </row>
    <row r="37" spans="3:10" ht="28.5" x14ac:dyDescent="0.2">
      <c r="C37" s="153"/>
      <c r="D37" s="162"/>
      <c r="E37" s="175">
        <f>+'RIESGO INHERENTE'!A29</f>
        <v>18</v>
      </c>
      <c r="F37" s="176" t="str">
        <f>+'RIESGO INHERENTE'!C29</f>
        <v>Jurisdicción</v>
      </c>
      <c r="G37" s="177" t="str">
        <f>+'RIESGO INHERENTE'!B29</f>
        <v>Utilización de empresas de fachada para apoyar las actividades de lavado de activos – paraísos fiscales. (recopilación de tipologías regionales de gafilat: 2009 - 2016)</v>
      </c>
      <c r="H37" s="177" t="str">
        <f>+VLOOKUP(E37,'RIESGO INHERENTE'!A:N,4,0)</f>
        <v>Financiero</v>
      </c>
      <c r="I37" s="177"/>
      <c r="J37" s="153"/>
    </row>
    <row r="38" spans="3:10" ht="28.5" x14ac:dyDescent="0.2">
      <c r="C38" s="153"/>
      <c r="D38" s="162"/>
      <c r="E38" s="175">
        <f>+'RIESGO INHERENTE'!A30</f>
        <v>19</v>
      </c>
      <c r="F38" s="176" t="str">
        <f>+'RIESGO INHERENTE'!C30</f>
        <v>Producto</v>
      </c>
      <c r="G38" s="177" t="str">
        <f>+'RIESGO INHERENTE'!B30</f>
        <v>Fiducia inmobiliaria recursos ilícitos del constructor (recopilación de tipologías regionales de gafilat: 2009 - 2016)</v>
      </c>
      <c r="H38" s="177" t="str">
        <f>+VLOOKUP(E38,'RIESGO INHERENTE'!A:N,4,0)</f>
        <v>Proceso 10</v>
      </c>
      <c r="I38" s="177"/>
      <c r="J38" s="153"/>
    </row>
    <row r="39" spans="3:10" ht="51" x14ac:dyDescent="0.2">
      <c r="C39" s="153"/>
      <c r="D39" s="162"/>
      <c r="E39" s="175">
        <f>+'RIESGO INHERENTE'!A31</f>
        <v>20</v>
      </c>
      <c r="F39" s="176" t="str">
        <f>+'RIESGO INHERENTE'!C31</f>
        <v>Contrapartes (Clientes, Proveedores, Empleados, Accionistas, Vinculados) y Partes interesadas.</v>
      </c>
      <c r="G39" s="177" t="str">
        <f>+'RIESGO INHERENTE'!B31</f>
        <v>Invertir en activos que hayan sido adquiridos con dinero proveniente de actividades de LA/FT/FPADM.</v>
      </c>
      <c r="H39" s="177" t="str">
        <f>+VLOOKUP(E39,'RIESGO INHERENTE'!A:N,4,0)</f>
        <v>Operaciones</v>
      </c>
      <c r="I39" s="177"/>
      <c r="J39" s="153"/>
    </row>
    <row r="40" spans="3:10" ht="28.5" x14ac:dyDescent="0.2">
      <c r="C40" s="153"/>
      <c r="D40" s="162"/>
      <c r="E40" s="175">
        <f>+'RIESGO INHERENTE'!A32</f>
        <v>21</v>
      </c>
      <c r="F40" s="176" t="str">
        <f>+'RIESGO INHERENTE'!C32</f>
        <v>Producto</v>
      </c>
      <c r="G40" s="177" t="str">
        <f>+'RIESGO INHERENTE'!B32</f>
        <v>Lavado de activos a través de negocios de fachada y el uso de testaferros (recopilación de tipologías regionales de gafilat: 2009 - 2016)</v>
      </c>
      <c r="H40" s="177" t="str">
        <f>+VLOOKUP(E40,'RIESGO INHERENTE'!A:N,4,0)</f>
        <v>Jurídica</v>
      </c>
      <c r="I40" s="177"/>
      <c r="J40" s="153"/>
    </row>
    <row r="41" spans="3:10" ht="13.5" thickBot="1" x14ac:dyDescent="0.25">
      <c r="C41" s="153"/>
      <c r="D41" s="168"/>
      <c r="E41" s="169"/>
      <c r="F41" s="170"/>
      <c r="G41" s="171"/>
      <c r="H41" s="171"/>
      <c r="I41" s="172"/>
      <c r="J41" s="153"/>
    </row>
    <row r="42" spans="3:10" ht="13.5" thickTop="1" x14ac:dyDescent="0.2">
      <c r="C42" s="153"/>
      <c r="D42" s="153"/>
      <c r="E42" s="156"/>
      <c r="F42" s="153"/>
      <c r="G42" s="153"/>
      <c r="H42" s="153"/>
      <c r="I42" s="153"/>
      <c r="J42" s="153"/>
    </row>
  </sheetData>
  <mergeCells count="2">
    <mergeCell ref="F6:G6"/>
    <mergeCell ref="F10:G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S202"/>
  <sheetViews>
    <sheetView zoomScale="75" zoomScaleNormal="75" workbookViewId="0">
      <pane ySplit="11" topLeftCell="A18" activePane="bottomLeft" state="frozen"/>
      <selection pane="bottomLeft" activeCell="K21" sqref="K21"/>
    </sheetView>
  </sheetViews>
  <sheetFormatPr baseColWidth="10" defaultColWidth="11.42578125" defaultRowHeight="15" x14ac:dyDescent="0.25"/>
  <cols>
    <col min="1" max="1" width="11.42578125" style="59"/>
    <col min="2" max="2" width="44.7109375" style="59" customWidth="1"/>
    <col min="3" max="3" width="31" style="59" customWidth="1"/>
    <col min="4" max="4" width="12.42578125" style="59" customWidth="1"/>
    <col min="5" max="5" width="14.5703125" style="59" bestFit="1" customWidth="1"/>
    <col min="6" max="6" width="5.85546875" style="59" bestFit="1" customWidth="1"/>
    <col min="7" max="9" width="5.28515625" style="59" customWidth="1"/>
    <col min="10" max="10" width="11" style="59" bestFit="1" customWidth="1"/>
    <col min="11" max="11" width="15" style="59" customWidth="1"/>
    <col min="12" max="12" width="15" style="59" bestFit="1" customWidth="1"/>
    <col min="13" max="13" width="18.140625" style="60" customWidth="1"/>
    <col min="14" max="14" width="15" style="59" bestFit="1" customWidth="1"/>
    <col min="15" max="16" width="6.85546875" style="59" customWidth="1"/>
    <col min="17" max="17" width="5.7109375" style="59" customWidth="1"/>
    <col min="18" max="18" width="18.140625" style="59" customWidth="1"/>
    <col min="19" max="19" width="16.5703125" style="59" bestFit="1" customWidth="1"/>
    <col min="20" max="20" width="21.28515625" style="59" bestFit="1" customWidth="1"/>
    <col min="21" max="16384" width="11.42578125" style="59"/>
  </cols>
  <sheetData>
    <row r="1" spans="1:19" x14ac:dyDescent="0.25">
      <c r="D1" s="60"/>
      <c r="E1" s="218" t="str">
        <f>+E11</f>
        <v>PROBABILIDAD</v>
      </c>
      <c r="F1" s="265" t="s">
        <v>237</v>
      </c>
      <c r="G1" s="265"/>
      <c r="H1" s="265"/>
      <c r="I1" s="265"/>
      <c r="N1" s="218" t="str">
        <f>+N11</f>
        <v>CONSECUENCIA</v>
      </c>
    </row>
    <row r="2" spans="1:19" x14ac:dyDescent="0.25">
      <c r="D2" s="263" t="s">
        <v>225</v>
      </c>
      <c r="E2" s="263" t="s">
        <v>227</v>
      </c>
      <c r="F2" s="216" t="s">
        <v>225</v>
      </c>
      <c r="G2" s="257" t="s">
        <v>227</v>
      </c>
      <c r="H2" s="257"/>
      <c r="I2" s="257"/>
      <c r="M2" s="263" t="s">
        <v>225</v>
      </c>
      <c r="N2" s="263" t="s">
        <v>227</v>
      </c>
      <c r="P2" s="217"/>
    </row>
    <row r="3" spans="1:19" x14ac:dyDescent="0.25">
      <c r="D3" s="264"/>
      <c r="E3" s="264"/>
      <c r="F3" s="107">
        <v>0</v>
      </c>
      <c r="G3" s="262" t="s">
        <v>239</v>
      </c>
      <c r="H3" s="262"/>
      <c r="I3" s="262"/>
      <c r="M3" s="264"/>
      <c r="N3" s="264"/>
      <c r="P3" s="217"/>
    </row>
    <row r="4" spans="1:19" x14ac:dyDescent="0.25">
      <c r="D4" s="219">
        <v>1</v>
      </c>
      <c r="E4" s="220" t="s">
        <v>124</v>
      </c>
      <c r="F4" s="107">
        <v>1</v>
      </c>
      <c r="G4" s="258" t="s">
        <v>230</v>
      </c>
      <c r="H4" s="258"/>
      <c r="I4" s="258"/>
      <c r="M4" s="219">
        <v>1</v>
      </c>
      <c r="N4" s="220" t="s">
        <v>20</v>
      </c>
    </row>
    <row r="5" spans="1:19" x14ac:dyDescent="0.25">
      <c r="D5" s="219">
        <v>2</v>
      </c>
      <c r="E5" s="220" t="s">
        <v>123</v>
      </c>
      <c r="F5" s="107">
        <v>2</v>
      </c>
      <c r="G5" s="258" t="s">
        <v>233</v>
      </c>
      <c r="H5" s="258"/>
      <c r="I5" s="258"/>
      <c r="M5" s="219">
        <v>2</v>
      </c>
      <c r="N5" s="220" t="s">
        <v>19</v>
      </c>
      <c r="S5" s="221" t="s">
        <v>32</v>
      </c>
    </row>
    <row r="6" spans="1:19" x14ac:dyDescent="0.25">
      <c r="D6" s="219">
        <v>3</v>
      </c>
      <c r="E6" s="220" t="s">
        <v>125</v>
      </c>
      <c r="F6" s="107">
        <v>3</v>
      </c>
      <c r="G6" s="259" t="s">
        <v>231</v>
      </c>
      <c r="H6" s="259"/>
      <c r="I6" s="259"/>
      <c r="M6" s="219">
        <v>3</v>
      </c>
      <c r="N6" s="220" t="s">
        <v>12</v>
      </c>
      <c r="S6" s="222" t="s">
        <v>34</v>
      </c>
    </row>
    <row r="7" spans="1:19" x14ac:dyDescent="0.25">
      <c r="D7" s="219">
        <v>4</v>
      </c>
      <c r="E7" s="220" t="s">
        <v>122</v>
      </c>
      <c r="F7" s="107">
        <v>4</v>
      </c>
      <c r="G7" s="260" t="s">
        <v>232</v>
      </c>
      <c r="H7" s="260"/>
      <c r="I7" s="260"/>
      <c r="M7" s="219">
        <v>4</v>
      </c>
      <c r="N7" s="220" t="s">
        <v>18</v>
      </c>
      <c r="S7" s="223" t="s">
        <v>35</v>
      </c>
    </row>
    <row r="8" spans="1:19" x14ac:dyDescent="0.25">
      <c r="D8" s="219">
        <v>5</v>
      </c>
      <c r="E8" s="220" t="s">
        <v>121</v>
      </c>
      <c r="F8" s="107">
        <v>5</v>
      </c>
      <c r="G8" s="261" t="s">
        <v>226</v>
      </c>
      <c r="H8" s="261"/>
      <c r="I8" s="261"/>
      <c r="M8" s="219">
        <v>5</v>
      </c>
      <c r="N8" s="220" t="s">
        <v>17</v>
      </c>
      <c r="S8" s="224" t="s">
        <v>36</v>
      </c>
    </row>
    <row r="9" spans="1:19" x14ac:dyDescent="0.25">
      <c r="A9" s="256" t="s">
        <v>130</v>
      </c>
      <c r="B9" s="256"/>
      <c r="C9" s="256" t="s">
        <v>131</v>
      </c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 t="s">
        <v>132</v>
      </c>
      <c r="P9" s="256"/>
      <c r="Q9" s="256"/>
      <c r="R9" s="256"/>
      <c r="S9" s="256"/>
    </row>
    <row r="10" spans="1:19" x14ac:dyDescent="0.25">
      <c r="A10" s="190"/>
      <c r="B10" s="190"/>
      <c r="C10" s="190"/>
      <c r="D10" s="190"/>
      <c r="E10" s="190"/>
      <c r="F10" s="266" t="s">
        <v>22</v>
      </c>
      <c r="G10" s="267"/>
      <c r="H10" s="267"/>
      <c r="I10" s="267"/>
      <c r="J10" s="267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s="115" customFormat="1" ht="45" x14ac:dyDescent="0.25">
      <c r="A11" s="121" t="s">
        <v>5</v>
      </c>
      <c r="B11" s="121" t="s">
        <v>154</v>
      </c>
      <c r="C11" s="121" t="s">
        <v>6</v>
      </c>
      <c r="D11" s="121" t="s">
        <v>171</v>
      </c>
      <c r="E11" s="121" t="s">
        <v>13</v>
      </c>
      <c r="F11" s="108" t="s">
        <v>126</v>
      </c>
      <c r="G11" s="108" t="s">
        <v>127</v>
      </c>
      <c r="H11" s="108" t="s">
        <v>128</v>
      </c>
      <c r="I11" s="108" t="s">
        <v>129</v>
      </c>
      <c r="J11" s="121" t="s">
        <v>144</v>
      </c>
      <c r="K11" s="121" t="s">
        <v>228</v>
      </c>
      <c r="L11" s="121" t="s">
        <v>235</v>
      </c>
      <c r="M11" s="215" t="s">
        <v>236</v>
      </c>
      <c r="N11" s="121" t="s">
        <v>7</v>
      </c>
      <c r="O11" s="121" t="s">
        <v>24</v>
      </c>
      <c r="P11" s="121" t="s">
        <v>25</v>
      </c>
      <c r="Q11" s="121" t="s">
        <v>33</v>
      </c>
      <c r="R11" s="121" t="s">
        <v>37</v>
      </c>
      <c r="S11" s="121" t="s">
        <v>38</v>
      </c>
    </row>
    <row r="12" spans="1:19" ht="60" x14ac:dyDescent="0.25">
      <c r="A12" s="183">
        <v>1</v>
      </c>
      <c r="B12" s="184" t="s">
        <v>159</v>
      </c>
      <c r="C12" s="184" t="s">
        <v>169</v>
      </c>
      <c r="D12" s="184" t="s">
        <v>261</v>
      </c>
      <c r="E12" s="185" t="s">
        <v>121</v>
      </c>
      <c r="F12" s="214">
        <v>2</v>
      </c>
      <c r="G12" s="214">
        <v>5</v>
      </c>
      <c r="H12" s="214">
        <v>3</v>
      </c>
      <c r="I12" s="214">
        <v>4</v>
      </c>
      <c r="J12" s="214">
        <f>+AVERAGEIF(F12:I12,"&lt;&gt;0")</f>
        <v>3.5</v>
      </c>
      <c r="K12" s="184" t="str">
        <f>+VLOOKUP(J12,$F$3:$I$8,2)</f>
        <v>Medio</v>
      </c>
      <c r="L12" s="184" t="str">
        <f>+E12&amp;K12</f>
        <v>Casi CiertaMedio</v>
      </c>
      <c r="M12" s="122" t="str">
        <f>+VLOOKUP(L12,DATOS!AW:AY,3,0)</f>
        <v>Alto</v>
      </c>
      <c r="N12" s="185" t="s">
        <v>17</v>
      </c>
      <c r="O12" s="184">
        <f>+VLOOKUP(E12,DATOS!A:B,2,0)</f>
        <v>5</v>
      </c>
      <c r="P12" s="184">
        <f>+VLOOKUP(N12,DATOS!D:E,2,0)</f>
        <v>5</v>
      </c>
      <c r="Q12" s="184">
        <f>+O12*P12</f>
        <v>25</v>
      </c>
      <c r="R12" s="122" t="str">
        <f>+VLOOKUP(Q12,DATOS!M:P,4,0)</f>
        <v>EXTREMO</v>
      </c>
      <c r="S12" s="184" t="str">
        <f>+IF(ISERROR(VLOOKUP(R12,DATOS!P:T,5,0)),"",VLOOKUP(R12,DATOS!P:T,5,0))</f>
        <v>Prevenir/Tratar/Evitar</v>
      </c>
    </row>
    <row r="13" spans="1:19" ht="60" x14ac:dyDescent="0.25">
      <c r="A13" s="183">
        <v>2</v>
      </c>
      <c r="B13" s="184" t="s">
        <v>254</v>
      </c>
      <c r="C13" s="184" t="s">
        <v>169</v>
      </c>
      <c r="D13" s="184" t="s">
        <v>258</v>
      </c>
      <c r="E13" s="185" t="s">
        <v>121</v>
      </c>
      <c r="F13" s="214">
        <v>2</v>
      </c>
      <c r="G13" s="214">
        <v>2</v>
      </c>
      <c r="H13" s="214">
        <v>0</v>
      </c>
      <c r="I13" s="214">
        <v>4</v>
      </c>
      <c r="J13" s="214">
        <f t="shared" ref="J13:J33" si="0">+AVERAGEIF(F13:I13,"&lt;&gt;0")</f>
        <v>2.6666666666666665</v>
      </c>
      <c r="K13" s="184" t="str">
        <f t="shared" ref="K13:K32" si="1">+VLOOKUP(J13,$F$4:$I$8,2)</f>
        <v>Bajo</v>
      </c>
      <c r="L13" s="184" t="str">
        <f t="shared" ref="L13:L32" si="2">+E13&amp;K13</f>
        <v>Casi CiertaBajo</v>
      </c>
      <c r="M13" s="122" t="str">
        <f>+VLOOKUP(L13,DATOS!AW:AY,3,0)</f>
        <v>Medio</v>
      </c>
      <c r="N13" s="185" t="s">
        <v>12</v>
      </c>
      <c r="O13" s="184">
        <f>+VLOOKUP(E13,DATOS!A:B,2,0)</f>
        <v>5</v>
      </c>
      <c r="P13" s="184">
        <f>+VLOOKUP(N13,DATOS!D:E,2,0)</f>
        <v>3</v>
      </c>
      <c r="Q13" s="184">
        <f t="shared" ref="Q13:Q23" si="3">+O13*P13</f>
        <v>15</v>
      </c>
      <c r="R13" s="122" t="str">
        <f>+VLOOKUP(Q13,DATOS!M:P,4,0)</f>
        <v>ALTO</v>
      </c>
      <c r="S13" s="184" t="str">
        <f>+IF(ISERROR(VLOOKUP(R13,DATOS!P:T,5,0)),"",VLOOKUP(R13,DATOS!P:T,5,0))</f>
        <v>Prevenir/Tratar/Evitar</v>
      </c>
    </row>
    <row r="14" spans="1:19" ht="60" x14ac:dyDescent="0.25">
      <c r="A14" s="183">
        <v>3</v>
      </c>
      <c r="B14" s="184" t="s">
        <v>157</v>
      </c>
      <c r="C14" s="184" t="s">
        <v>156</v>
      </c>
      <c r="D14" s="184" t="s">
        <v>259</v>
      </c>
      <c r="E14" s="185" t="s">
        <v>121</v>
      </c>
      <c r="F14" s="214">
        <v>4</v>
      </c>
      <c r="G14" s="214">
        <v>4</v>
      </c>
      <c r="H14" s="214">
        <v>2</v>
      </c>
      <c r="I14" s="214">
        <v>4</v>
      </c>
      <c r="J14" s="214">
        <f t="shared" si="0"/>
        <v>3.5</v>
      </c>
      <c r="K14" s="184" t="str">
        <f t="shared" si="1"/>
        <v>Medio</v>
      </c>
      <c r="L14" s="184" t="str">
        <f t="shared" si="2"/>
        <v>Casi CiertaMedio</v>
      </c>
      <c r="M14" s="122" t="str">
        <f>+VLOOKUP(L14,DATOS!AW:AY,3,0)</f>
        <v>Alto</v>
      </c>
      <c r="N14" s="185" t="s">
        <v>17</v>
      </c>
      <c r="O14" s="184">
        <f>+VLOOKUP(E14,DATOS!A:B,2,0)</f>
        <v>5</v>
      </c>
      <c r="P14" s="184">
        <f>+VLOOKUP(N14,DATOS!D:E,2,0)</f>
        <v>5</v>
      </c>
      <c r="Q14" s="184">
        <f t="shared" si="3"/>
        <v>25</v>
      </c>
      <c r="R14" s="122" t="str">
        <f>+VLOOKUP(Q14,DATOS!M:P,4,0)</f>
        <v>EXTREMO</v>
      </c>
      <c r="S14" s="184" t="str">
        <f>+IF(ISERROR(VLOOKUP(R14,DATOS!P:T,5,0)),"",VLOOKUP(R14,DATOS!P:T,5,0))</f>
        <v>Prevenir/Tratar/Evitar</v>
      </c>
    </row>
    <row r="15" spans="1:19" ht="60" x14ac:dyDescent="0.25">
      <c r="A15" s="183">
        <v>4</v>
      </c>
      <c r="B15" s="248" t="s">
        <v>251</v>
      </c>
      <c r="C15" s="184" t="s">
        <v>169</v>
      </c>
      <c r="D15" s="184" t="s">
        <v>258</v>
      </c>
      <c r="E15" s="185" t="s">
        <v>122</v>
      </c>
      <c r="F15" s="214">
        <v>4</v>
      </c>
      <c r="G15" s="214">
        <v>3</v>
      </c>
      <c r="H15" s="214">
        <v>1</v>
      </c>
      <c r="I15" s="214">
        <v>4</v>
      </c>
      <c r="J15" s="214">
        <f t="shared" si="0"/>
        <v>3</v>
      </c>
      <c r="K15" s="184" t="str">
        <f t="shared" si="1"/>
        <v>Medio</v>
      </c>
      <c r="L15" s="184" t="str">
        <f t="shared" si="2"/>
        <v>ProbableMedio</v>
      </c>
      <c r="M15" s="122" t="str">
        <f>+VLOOKUP(L15,DATOS!AW:AY,3,0)</f>
        <v>Medio</v>
      </c>
      <c r="N15" s="185" t="s">
        <v>18</v>
      </c>
      <c r="O15" s="184">
        <f>+VLOOKUP(E15,DATOS!A:B,2,0)</f>
        <v>4</v>
      </c>
      <c r="P15" s="184">
        <f>+VLOOKUP(N15,DATOS!D:E,2,0)</f>
        <v>4</v>
      </c>
      <c r="Q15" s="184">
        <f t="shared" si="3"/>
        <v>16</v>
      </c>
      <c r="R15" s="122" t="str">
        <f>+VLOOKUP(Q15,DATOS!M:P,4,0)</f>
        <v>ALTO</v>
      </c>
      <c r="S15" s="184" t="str">
        <f>+IF(ISERROR(VLOOKUP(R15,DATOS!P:T,5,0)),"",VLOOKUP(R15,DATOS!P:T,5,0))</f>
        <v>Prevenir/Tratar/Evitar</v>
      </c>
    </row>
    <row r="16" spans="1:19" ht="60" x14ac:dyDescent="0.25">
      <c r="A16" s="183">
        <v>5</v>
      </c>
      <c r="B16" s="248" t="s">
        <v>246</v>
      </c>
      <c r="C16" s="184" t="s">
        <v>169</v>
      </c>
      <c r="D16" s="184" t="s">
        <v>261</v>
      </c>
      <c r="E16" s="185" t="s">
        <v>122</v>
      </c>
      <c r="F16" s="214">
        <v>1</v>
      </c>
      <c r="G16" s="214">
        <v>3</v>
      </c>
      <c r="H16" s="214">
        <v>1</v>
      </c>
      <c r="I16" s="214">
        <v>5</v>
      </c>
      <c r="J16" s="214">
        <f t="shared" si="0"/>
        <v>2.5</v>
      </c>
      <c r="K16" s="184" t="str">
        <f t="shared" si="1"/>
        <v>Bajo</v>
      </c>
      <c r="L16" s="184" t="str">
        <f t="shared" si="2"/>
        <v>ProbableBajo</v>
      </c>
      <c r="M16" s="122" t="str">
        <f>+VLOOKUP(L16,DATOS!AW:AY,3,0)</f>
        <v>Bajo</v>
      </c>
      <c r="N16" s="185" t="s">
        <v>18</v>
      </c>
      <c r="O16" s="184">
        <f>+VLOOKUP(E16,DATOS!A:B,2,0)</f>
        <v>4</v>
      </c>
      <c r="P16" s="184">
        <f>+VLOOKUP(N16,DATOS!D:E,2,0)</f>
        <v>4</v>
      </c>
      <c r="Q16" s="184">
        <f t="shared" si="3"/>
        <v>16</v>
      </c>
      <c r="R16" s="122" t="str">
        <f>+VLOOKUP(Q16,DATOS!M:P,4,0)</f>
        <v>ALTO</v>
      </c>
      <c r="S16" s="184" t="str">
        <f>+IF(ISERROR(VLOOKUP(R16,DATOS!P:T,5,0)),"",VLOOKUP(R16,DATOS!P:T,5,0))</f>
        <v>Prevenir/Tratar/Evitar</v>
      </c>
    </row>
    <row r="17" spans="1:19" ht="60" x14ac:dyDescent="0.25">
      <c r="A17" s="183">
        <v>6</v>
      </c>
      <c r="B17" s="248" t="s">
        <v>247</v>
      </c>
      <c r="C17" s="184" t="s">
        <v>169</v>
      </c>
      <c r="D17" s="184" t="s">
        <v>256</v>
      </c>
      <c r="E17" s="185" t="s">
        <v>122</v>
      </c>
      <c r="F17" s="214">
        <v>3</v>
      </c>
      <c r="G17" s="214">
        <v>4</v>
      </c>
      <c r="H17" s="214">
        <v>1</v>
      </c>
      <c r="I17" s="214">
        <v>4</v>
      </c>
      <c r="J17" s="214">
        <f t="shared" si="0"/>
        <v>3</v>
      </c>
      <c r="K17" s="184" t="str">
        <f t="shared" si="1"/>
        <v>Medio</v>
      </c>
      <c r="L17" s="184" t="str">
        <f t="shared" si="2"/>
        <v>ProbableMedio</v>
      </c>
      <c r="M17" s="122" t="str">
        <f>+VLOOKUP(L17,DATOS!AW:AY,3,0)</f>
        <v>Medio</v>
      </c>
      <c r="N17" s="185" t="s">
        <v>17</v>
      </c>
      <c r="O17" s="184">
        <f>+VLOOKUP(E17,DATOS!A:B,2,0)</f>
        <v>4</v>
      </c>
      <c r="P17" s="184">
        <f>+VLOOKUP(N17,DATOS!D:E,2,0)</f>
        <v>5</v>
      </c>
      <c r="Q17" s="184">
        <f t="shared" si="3"/>
        <v>20</v>
      </c>
      <c r="R17" s="122" t="str">
        <f>+VLOOKUP(Q17,DATOS!M:P,4,0)</f>
        <v>EXTREMO</v>
      </c>
      <c r="S17" s="184" t="str">
        <f>+IF(ISERROR(VLOOKUP(R17,DATOS!P:T,5,0)),"",VLOOKUP(R17,DATOS!P:T,5,0))</f>
        <v>Prevenir/Tratar/Evitar</v>
      </c>
    </row>
    <row r="18" spans="1:19" ht="60" x14ac:dyDescent="0.25">
      <c r="A18" s="183">
        <v>7</v>
      </c>
      <c r="B18" s="248" t="s">
        <v>248</v>
      </c>
      <c r="C18" s="184" t="s">
        <v>169</v>
      </c>
      <c r="D18" s="184" t="s">
        <v>261</v>
      </c>
      <c r="E18" s="185" t="s">
        <v>122</v>
      </c>
      <c r="F18" s="214">
        <v>1</v>
      </c>
      <c r="G18" s="214">
        <v>4</v>
      </c>
      <c r="H18" s="214">
        <v>1</v>
      </c>
      <c r="I18" s="214">
        <v>5</v>
      </c>
      <c r="J18" s="214">
        <f t="shared" si="0"/>
        <v>2.75</v>
      </c>
      <c r="K18" s="184" t="str">
        <f t="shared" si="1"/>
        <v>Bajo</v>
      </c>
      <c r="L18" s="184" t="str">
        <f t="shared" si="2"/>
        <v>ProbableBajo</v>
      </c>
      <c r="M18" s="122" t="str">
        <f>+VLOOKUP(L18,DATOS!AW:AY,3,0)</f>
        <v>Bajo</v>
      </c>
      <c r="N18" s="185" t="s">
        <v>18</v>
      </c>
      <c r="O18" s="184">
        <f>+VLOOKUP(E18,DATOS!A:B,2,0)</f>
        <v>4</v>
      </c>
      <c r="P18" s="184">
        <f>+VLOOKUP(N18,DATOS!D:E,2,0)</f>
        <v>4</v>
      </c>
      <c r="Q18" s="184">
        <f t="shared" si="3"/>
        <v>16</v>
      </c>
      <c r="R18" s="122" t="str">
        <f>+VLOOKUP(Q18,DATOS!M:P,4,0)</f>
        <v>ALTO</v>
      </c>
      <c r="S18" s="184" t="str">
        <f>+IF(ISERROR(VLOOKUP(R18,DATOS!P:T,5,0)),"",VLOOKUP(R18,DATOS!P:T,5,0))</f>
        <v>Prevenir/Tratar/Evitar</v>
      </c>
    </row>
    <row r="19" spans="1:19" ht="60" x14ac:dyDescent="0.25">
      <c r="A19" s="183">
        <v>8</v>
      </c>
      <c r="B19" s="248" t="s">
        <v>249</v>
      </c>
      <c r="C19" s="184" t="s">
        <v>169</v>
      </c>
      <c r="D19" s="184" t="s">
        <v>261</v>
      </c>
      <c r="E19" s="185" t="s">
        <v>122</v>
      </c>
      <c r="F19" s="214">
        <v>1</v>
      </c>
      <c r="G19" s="214">
        <v>4</v>
      </c>
      <c r="H19" s="214">
        <v>1</v>
      </c>
      <c r="I19" s="214">
        <v>5</v>
      </c>
      <c r="J19" s="214">
        <f t="shared" si="0"/>
        <v>2.75</v>
      </c>
      <c r="K19" s="184" t="str">
        <f t="shared" si="1"/>
        <v>Bajo</v>
      </c>
      <c r="L19" s="184" t="str">
        <f t="shared" si="2"/>
        <v>ProbableBajo</v>
      </c>
      <c r="M19" s="122" t="str">
        <f>+VLOOKUP(L19,DATOS!AW:AY,3,0)</f>
        <v>Bajo</v>
      </c>
      <c r="N19" s="185" t="s">
        <v>18</v>
      </c>
      <c r="O19" s="184">
        <f>+VLOOKUP(E19,DATOS!A:B,2,0)</f>
        <v>4</v>
      </c>
      <c r="P19" s="184">
        <f>+VLOOKUP(N19,DATOS!D:E,2,0)</f>
        <v>4</v>
      </c>
      <c r="Q19" s="184">
        <f t="shared" si="3"/>
        <v>16</v>
      </c>
      <c r="R19" s="122" t="str">
        <f>+VLOOKUP(Q19,DATOS!M:P,4,0)</f>
        <v>ALTO</v>
      </c>
      <c r="S19" s="184" t="str">
        <f>+IF(ISERROR(VLOOKUP(R19,DATOS!P:T,5,0)),"",VLOOKUP(R19,DATOS!P:T,5,0))</f>
        <v>Prevenir/Tratar/Evitar</v>
      </c>
    </row>
    <row r="20" spans="1:19" ht="60" x14ac:dyDescent="0.25">
      <c r="A20" s="183">
        <v>9</v>
      </c>
      <c r="B20" s="248" t="s">
        <v>250</v>
      </c>
      <c r="C20" s="184" t="s">
        <v>169</v>
      </c>
      <c r="D20" s="184" t="s">
        <v>258</v>
      </c>
      <c r="E20" s="185" t="s">
        <v>121</v>
      </c>
      <c r="F20" s="214">
        <v>2</v>
      </c>
      <c r="G20" s="214">
        <v>4</v>
      </c>
      <c r="H20" s="214">
        <v>2</v>
      </c>
      <c r="I20" s="214">
        <v>5</v>
      </c>
      <c r="J20" s="214">
        <f t="shared" si="0"/>
        <v>3.25</v>
      </c>
      <c r="K20" s="184" t="str">
        <f t="shared" si="1"/>
        <v>Medio</v>
      </c>
      <c r="L20" s="184" t="str">
        <f t="shared" si="2"/>
        <v>Casi CiertaMedio</v>
      </c>
      <c r="M20" s="122" t="str">
        <f>+VLOOKUP(L20,DATOS!AW:AY,3,0)</f>
        <v>Alto</v>
      </c>
      <c r="N20" s="185" t="s">
        <v>18</v>
      </c>
      <c r="O20" s="184">
        <f>+VLOOKUP(E20,DATOS!A:B,2,0)</f>
        <v>5</v>
      </c>
      <c r="P20" s="184">
        <f>+VLOOKUP(N20,DATOS!D:E,2,0)</f>
        <v>4</v>
      </c>
      <c r="Q20" s="184">
        <f t="shared" si="3"/>
        <v>20</v>
      </c>
      <c r="R20" s="122" t="str">
        <f>+VLOOKUP(Q20,DATOS!M:P,4,0)</f>
        <v>EXTREMO</v>
      </c>
      <c r="S20" s="184" t="str">
        <f>+IF(ISERROR(VLOOKUP(R20,DATOS!P:T,5,0)),"",VLOOKUP(R20,DATOS!P:T,5,0))</f>
        <v>Prevenir/Tratar/Evitar</v>
      </c>
    </row>
    <row r="21" spans="1:19" ht="60" x14ac:dyDescent="0.25">
      <c r="A21" s="183">
        <v>10</v>
      </c>
      <c r="B21" s="248" t="s">
        <v>252</v>
      </c>
      <c r="C21" s="184" t="s">
        <v>169</v>
      </c>
      <c r="D21" s="184" t="s">
        <v>261</v>
      </c>
      <c r="E21" s="185" t="s">
        <v>121</v>
      </c>
      <c r="F21" s="214">
        <v>1</v>
      </c>
      <c r="G21" s="214">
        <v>3</v>
      </c>
      <c r="H21" s="214">
        <v>3</v>
      </c>
      <c r="I21" s="214">
        <v>5</v>
      </c>
      <c r="J21" s="214">
        <f t="shared" si="0"/>
        <v>3</v>
      </c>
      <c r="K21" s="184" t="str">
        <f t="shared" si="1"/>
        <v>Medio</v>
      </c>
      <c r="L21" s="184" t="str">
        <f t="shared" si="2"/>
        <v>Casi CiertaMedio</v>
      </c>
      <c r="M21" s="122" t="str">
        <f>+VLOOKUP(L21,DATOS!AW:AY,3,0)</f>
        <v>Alto</v>
      </c>
      <c r="N21" s="185" t="s">
        <v>18</v>
      </c>
      <c r="O21" s="184">
        <f>+VLOOKUP(E21,DATOS!A:B,2,0)</f>
        <v>5</v>
      </c>
      <c r="P21" s="184">
        <f>+VLOOKUP(N21,DATOS!D:E,2,0)</f>
        <v>4</v>
      </c>
      <c r="Q21" s="184">
        <f t="shared" si="3"/>
        <v>20</v>
      </c>
      <c r="R21" s="122" t="str">
        <f>+VLOOKUP(Q21,DATOS!M:P,4,0)</f>
        <v>EXTREMO</v>
      </c>
      <c r="S21" s="184" t="str">
        <f>+IF(ISERROR(VLOOKUP(R21,DATOS!P:T,5,0)),"",VLOOKUP(R21,DATOS!P:T,5,0))</f>
        <v>Prevenir/Tratar/Evitar</v>
      </c>
    </row>
    <row r="22" spans="1:19" ht="60" x14ac:dyDescent="0.25">
      <c r="A22" s="183">
        <v>11</v>
      </c>
      <c r="B22" s="184" t="s">
        <v>160</v>
      </c>
      <c r="C22" s="184" t="s">
        <v>169</v>
      </c>
      <c r="D22" s="184" t="s">
        <v>261</v>
      </c>
      <c r="E22" s="185" t="s">
        <v>121</v>
      </c>
      <c r="F22" s="214">
        <v>2</v>
      </c>
      <c r="G22" s="214">
        <v>2</v>
      </c>
      <c r="H22" s="214">
        <v>1</v>
      </c>
      <c r="I22" s="214">
        <v>4</v>
      </c>
      <c r="J22" s="214">
        <f t="shared" si="0"/>
        <v>2.25</v>
      </c>
      <c r="K22" s="184" t="str">
        <f t="shared" si="1"/>
        <v>Bajo</v>
      </c>
      <c r="L22" s="184" t="str">
        <f t="shared" si="2"/>
        <v>Casi CiertaBajo</v>
      </c>
      <c r="M22" s="122" t="str">
        <f>+VLOOKUP(L22,DATOS!AW:AY,3,0)</f>
        <v>Medio</v>
      </c>
      <c r="N22" s="185" t="s">
        <v>18</v>
      </c>
      <c r="O22" s="184">
        <f>+VLOOKUP(E22,DATOS!A:B,2,0)</f>
        <v>5</v>
      </c>
      <c r="P22" s="184">
        <f>+VLOOKUP(N22,DATOS!D:E,2,0)</f>
        <v>4</v>
      </c>
      <c r="Q22" s="184">
        <f t="shared" si="3"/>
        <v>20</v>
      </c>
      <c r="R22" s="122" t="str">
        <f>+VLOOKUP(Q22,DATOS!M:P,4,0)</f>
        <v>EXTREMO</v>
      </c>
      <c r="S22" s="184" t="str">
        <f>+IF(ISERROR(VLOOKUP(R22,DATOS!P:T,5,0)),"",VLOOKUP(R22,DATOS!P:T,5,0))</f>
        <v>Prevenir/Tratar/Evitar</v>
      </c>
    </row>
    <row r="23" spans="1:19" ht="60" x14ac:dyDescent="0.25">
      <c r="A23" s="183">
        <v>12</v>
      </c>
      <c r="B23" s="184" t="s">
        <v>161</v>
      </c>
      <c r="C23" s="184" t="s">
        <v>169</v>
      </c>
      <c r="D23" s="184" t="s">
        <v>258</v>
      </c>
      <c r="E23" s="185" t="s">
        <v>121</v>
      </c>
      <c r="F23" s="214">
        <v>3</v>
      </c>
      <c r="G23" s="214">
        <v>3</v>
      </c>
      <c r="H23" s="214">
        <v>2</v>
      </c>
      <c r="I23" s="214">
        <v>5</v>
      </c>
      <c r="J23" s="214">
        <f t="shared" si="0"/>
        <v>3.25</v>
      </c>
      <c r="K23" s="184" t="str">
        <f t="shared" si="1"/>
        <v>Medio</v>
      </c>
      <c r="L23" s="184" t="str">
        <f t="shared" si="2"/>
        <v>Casi CiertaMedio</v>
      </c>
      <c r="M23" s="122" t="str">
        <f>+VLOOKUP(L23,DATOS!AW:AY,3,0)</f>
        <v>Alto</v>
      </c>
      <c r="N23" s="185" t="s">
        <v>17</v>
      </c>
      <c r="O23" s="184">
        <f>+VLOOKUP(E23,DATOS!A:B,2,0)</f>
        <v>5</v>
      </c>
      <c r="P23" s="184">
        <f>+VLOOKUP(N23,DATOS!D:E,2,0)</f>
        <v>5</v>
      </c>
      <c r="Q23" s="184">
        <f t="shared" si="3"/>
        <v>25</v>
      </c>
      <c r="R23" s="122" t="str">
        <f>+VLOOKUP(Q23,DATOS!M:P,4,0)</f>
        <v>EXTREMO</v>
      </c>
      <c r="S23" s="184" t="str">
        <f>+IF(ISERROR(VLOOKUP(R23,DATOS!P:T,5,0)),"",VLOOKUP(R23,DATOS!P:T,5,0))</f>
        <v>Prevenir/Tratar/Evitar</v>
      </c>
    </row>
    <row r="24" spans="1:19" ht="60" x14ac:dyDescent="0.25">
      <c r="A24" s="183">
        <v>13</v>
      </c>
      <c r="B24" s="248" t="s">
        <v>255</v>
      </c>
      <c r="C24" s="184" t="s">
        <v>21</v>
      </c>
      <c r="D24" s="184" t="s">
        <v>260</v>
      </c>
      <c r="E24" s="185" t="s">
        <v>122</v>
      </c>
      <c r="F24" s="214">
        <v>1</v>
      </c>
      <c r="G24" s="214">
        <v>3</v>
      </c>
      <c r="H24" s="214">
        <v>1</v>
      </c>
      <c r="I24" s="214">
        <v>5</v>
      </c>
      <c r="J24" s="214">
        <f t="shared" si="0"/>
        <v>2.5</v>
      </c>
      <c r="K24" s="184" t="str">
        <f t="shared" si="1"/>
        <v>Bajo</v>
      </c>
      <c r="L24" s="184" t="str">
        <f t="shared" si="2"/>
        <v>ProbableBajo</v>
      </c>
      <c r="M24" s="122" t="str">
        <f>+VLOOKUP(L24,DATOS!AW:AY,3,0)</f>
        <v>Bajo</v>
      </c>
      <c r="N24" s="185" t="s">
        <v>18</v>
      </c>
      <c r="O24" s="184">
        <f>+VLOOKUP(E24,DATOS!A:B,2,0)</f>
        <v>4</v>
      </c>
      <c r="P24" s="184">
        <f>+VLOOKUP(N24,DATOS!D:E,2,0)</f>
        <v>4</v>
      </c>
      <c r="Q24" s="184">
        <f t="shared" ref="Q24:Q32" si="4">+O24*P24</f>
        <v>16</v>
      </c>
      <c r="R24" s="122" t="str">
        <f>+VLOOKUP(Q24,DATOS!M:P,4,0)</f>
        <v>ALTO</v>
      </c>
      <c r="S24" s="184" t="str">
        <f>+IF(ISERROR(VLOOKUP(R24,DATOS!P:T,5,0)),"",VLOOKUP(R24,DATOS!P:T,5,0))</f>
        <v>Prevenir/Tratar/Evitar</v>
      </c>
    </row>
    <row r="25" spans="1:19" ht="60" x14ac:dyDescent="0.25">
      <c r="A25" s="183">
        <v>14</v>
      </c>
      <c r="B25" s="184" t="s">
        <v>158</v>
      </c>
      <c r="C25" s="184" t="s">
        <v>156</v>
      </c>
      <c r="D25" s="184" t="s">
        <v>259</v>
      </c>
      <c r="E25" s="185" t="s">
        <v>121</v>
      </c>
      <c r="F25" s="214">
        <v>4</v>
      </c>
      <c r="G25" s="214">
        <v>4</v>
      </c>
      <c r="H25" s="214">
        <v>3</v>
      </c>
      <c r="I25" s="214">
        <v>5</v>
      </c>
      <c r="J25" s="214">
        <f t="shared" si="0"/>
        <v>4</v>
      </c>
      <c r="K25" s="184" t="str">
        <f t="shared" si="1"/>
        <v>Alto</v>
      </c>
      <c r="L25" s="184" t="str">
        <f t="shared" si="2"/>
        <v>Casi CiertaAlto</v>
      </c>
      <c r="M25" s="122" t="str">
        <f>+VLOOKUP(L25,DATOS!AW:AY,3,0)</f>
        <v>Extremo</v>
      </c>
      <c r="N25" s="185" t="s">
        <v>17</v>
      </c>
      <c r="O25" s="184">
        <f>+VLOOKUP(E25,DATOS!A:B,2,0)</f>
        <v>5</v>
      </c>
      <c r="P25" s="184">
        <f>+VLOOKUP(N25,DATOS!D:E,2,0)</f>
        <v>5</v>
      </c>
      <c r="Q25" s="184">
        <f t="shared" si="4"/>
        <v>25</v>
      </c>
      <c r="R25" s="122" t="str">
        <f>+VLOOKUP(Q25,DATOS!M:P,4,0)</f>
        <v>EXTREMO</v>
      </c>
      <c r="S25" s="184" t="str">
        <f>+IF(ISERROR(VLOOKUP(R25,DATOS!P:T,5,0)),"",VLOOKUP(R25,DATOS!P:T,5,0))</f>
        <v>Prevenir/Tratar/Evitar</v>
      </c>
    </row>
    <row r="26" spans="1:19" ht="45" x14ac:dyDescent="0.25">
      <c r="A26" s="183">
        <v>15</v>
      </c>
      <c r="B26" s="184" t="s">
        <v>163</v>
      </c>
      <c r="C26" s="184" t="s">
        <v>162</v>
      </c>
      <c r="D26" s="184" t="s">
        <v>256</v>
      </c>
      <c r="E26" s="185" t="s">
        <v>121</v>
      </c>
      <c r="F26" s="214">
        <v>2</v>
      </c>
      <c r="G26" s="214">
        <v>3</v>
      </c>
      <c r="H26" s="214">
        <v>1</v>
      </c>
      <c r="I26" s="214">
        <v>5</v>
      </c>
      <c r="J26" s="214">
        <f t="shared" si="0"/>
        <v>2.75</v>
      </c>
      <c r="K26" s="184" t="str">
        <f t="shared" si="1"/>
        <v>Bajo</v>
      </c>
      <c r="L26" s="184" t="str">
        <f t="shared" si="2"/>
        <v>Casi CiertaBajo</v>
      </c>
      <c r="M26" s="122" t="str">
        <f>+VLOOKUP(L26,DATOS!AW:AY,3,0)</f>
        <v>Medio</v>
      </c>
      <c r="N26" s="185" t="s">
        <v>18</v>
      </c>
      <c r="O26" s="184">
        <f>+VLOOKUP(E26,DATOS!A:B,2,0)</f>
        <v>5</v>
      </c>
      <c r="P26" s="184">
        <f>+VLOOKUP(N26,DATOS!D:E,2,0)</f>
        <v>4</v>
      </c>
      <c r="Q26" s="184">
        <f t="shared" si="4"/>
        <v>20</v>
      </c>
      <c r="R26" s="122" t="str">
        <f>+VLOOKUP(Q26,DATOS!M:P,4,0)</f>
        <v>EXTREMO</v>
      </c>
      <c r="S26" s="184" t="str">
        <f>+IF(ISERROR(VLOOKUP(R26,DATOS!P:T,5,0)),"",VLOOKUP(R26,DATOS!P:T,5,0))</f>
        <v>Prevenir/Tratar/Evitar</v>
      </c>
    </row>
    <row r="27" spans="1:19" ht="60" x14ac:dyDescent="0.25">
      <c r="A27" s="183">
        <v>16</v>
      </c>
      <c r="B27" s="184" t="s">
        <v>164</v>
      </c>
      <c r="C27" s="184" t="s">
        <v>162</v>
      </c>
      <c r="D27" s="184" t="s">
        <v>256</v>
      </c>
      <c r="E27" s="185" t="s">
        <v>121</v>
      </c>
      <c r="F27" s="214">
        <v>3</v>
      </c>
      <c r="G27" s="214">
        <v>5</v>
      </c>
      <c r="H27" s="214">
        <v>1</v>
      </c>
      <c r="I27" s="214">
        <v>5</v>
      </c>
      <c r="J27" s="214">
        <f t="shared" si="0"/>
        <v>3.5</v>
      </c>
      <c r="K27" s="184" t="str">
        <f t="shared" si="1"/>
        <v>Medio</v>
      </c>
      <c r="L27" s="184" t="str">
        <f t="shared" si="2"/>
        <v>Casi CiertaMedio</v>
      </c>
      <c r="M27" s="122" t="str">
        <f>+VLOOKUP(L27,DATOS!AW:AY,3,0)</f>
        <v>Alto</v>
      </c>
      <c r="N27" s="185" t="s">
        <v>17</v>
      </c>
      <c r="O27" s="184">
        <f>+VLOOKUP(E27,DATOS!A:B,2,0)</f>
        <v>5</v>
      </c>
      <c r="P27" s="184">
        <f>+VLOOKUP(N27,DATOS!D:E,2,0)</f>
        <v>5</v>
      </c>
      <c r="Q27" s="184">
        <f t="shared" si="4"/>
        <v>25</v>
      </c>
      <c r="R27" s="122" t="str">
        <f>+VLOOKUP(Q27,DATOS!M:P,4,0)</f>
        <v>EXTREMO</v>
      </c>
      <c r="S27" s="184" t="str">
        <f>+IF(ISERROR(VLOOKUP(R27,DATOS!P:T,5,0)),"",VLOOKUP(R27,DATOS!P:T,5,0))</f>
        <v>Prevenir/Tratar/Evitar</v>
      </c>
    </row>
    <row r="28" spans="1:19" ht="30" x14ac:dyDescent="0.25">
      <c r="A28" s="183">
        <v>17</v>
      </c>
      <c r="B28" s="184" t="s">
        <v>165</v>
      </c>
      <c r="C28" s="184" t="s">
        <v>162</v>
      </c>
      <c r="D28" s="184" t="s">
        <v>258</v>
      </c>
      <c r="E28" s="185" t="s">
        <v>121</v>
      </c>
      <c r="F28" s="214">
        <v>3</v>
      </c>
      <c r="G28" s="214">
        <v>4</v>
      </c>
      <c r="H28" s="214">
        <v>1</v>
      </c>
      <c r="I28" s="214">
        <v>5</v>
      </c>
      <c r="J28" s="214">
        <f t="shared" si="0"/>
        <v>3.25</v>
      </c>
      <c r="K28" s="184" t="str">
        <f t="shared" si="1"/>
        <v>Medio</v>
      </c>
      <c r="L28" s="184" t="str">
        <f t="shared" si="2"/>
        <v>Casi CiertaMedio</v>
      </c>
      <c r="M28" s="122" t="str">
        <f>+VLOOKUP(L28,DATOS!AW:AY,3,0)</f>
        <v>Alto</v>
      </c>
      <c r="N28" s="185" t="s">
        <v>18</v>
      </c>
      <c r="O28" s="184">
        <f>+VLOOKUP(E28,DATOS!A:B,2,0)</f>
        <v>5</v>
      </c>
      <c r="P28" s="184">
        <f>+VLOOKUP(N28,DATOS!D:E,2,0)</f>
        <v>4</v>
      </c>
      <c r="Q28" s="184">
        <f t="shared" si="4"/>
        <v>20</v>
      </c>
      <c r="R28" s="122" t="str">
        <f>+VLOOKUP(Q28,DATOS!M:P,4,0)</f>
        <v>EXTREMO</v>
      </c>
      <c r="S28" s="184" t="str">
        <f>+IF(ISERROR(VLOOKUP(R28,DATOS!P:T,5,0)),"",VLOOKUP(R28,DATOS!P:T,5,0))</f>
        <v>Prevenir/Tratar/Evitar</v>
      </c>
    </row>
    <row r="29" spans="1:19" ht="60" x14ac:dyDescent="0.25">
      <c r="A29" s="183">
        <v>18</v>
      </c>
      <c r="B29" s="184" t="s">
        <v>166</v>
      </c>
      <c r="C29" s="184" t="s">
        <v>162</v>
      </c>
      <c r="D29" s="184" t="s">
        <v>256</v>
      </c>
      <c r="E29" s="185" t="s">
        <v>121</v>
      </c>
      <c r="F29" s="214">
        <v>2</v>
      </c>
      <c r="G29" s="214">
        <v>4</v>
      </c>
      <c r="H29" s="214">
        <v>1</v>
      </c>
      <c r="I29" s="214">
        <v>5</v>
      </c>
      <c r="J29" s="214">
        <f t="shared" si="0"/>
        <v>3</v>
      </c>
      <c r="K29" s="184" t="str">
        <f t="shared" si="1"/>
        <v>Medio</v>
      </c>
      <c r="L29" s="184" t="str">
        <f t="shared" si="2"/>
        <v>Casi CiertaMedio</v>
      </c>
      <c r="M29" s="122" t="str">
        <f>+VLOOKUP(L29,DATOS!AW:AY,3,0)</f>
        <v>Alto</v>
      </c>
      <c r="N29" s="185" t="s">
        <v>17</v>
      </c>
      <c r="O29" s="184">
        <f>+VLOOKUP(E29,DATOS!A:B,2,0)</f>
        <v>5</v>
      </c>
      <c r="P29" s="184">
        <f>+VLOOKUP(N29,DATOS!D:E,2,0)</f>
        <v>5</v>
      </c>
      <c r="Q29" s="184">
        <f t="shared" si="4"/>
        <v>25</v>
      </c>
      <c r="R29" s="122" t="str">
        <f>+VLOOKUP(Q29,DATOS!M:P,4,0)</f>
        <v>EXTREMO</v>
      </c>
      <c r="S29" s="184" t="str">
        <f>+IF(ISERROR(VLOOKUP(R29,DATOS!P:T,5,0)),"",VLOOKUP(R29,DATOS!P:T,5,0))</f>
        <v>Prevenir/Tratar/Evitar</v>
      </c>
    </row>
    <row r="30" spans="1:19" ht="45" x14ac:dyDescent="0.25">
      <c r="A30" s="183">
        <v>19</v>
      </c>
      <c r="B30" s="184" t="s">
        <v>167</v>
      </c>
      <c r="C30" s="184" t="s">
        <v>21</v>
      </c>
      <c r="D30" s="184" t="s">
        <v>181</v>
      </c>
      <c r="E30" s="185" t="s">
        <v>121</v>
      </c>
      <c r="F30" s="214">
        <v>2</v>
      </c>
      <c r="G30" s="214">
        <v>4</v>
      </c>
      <c r="H30" s="214">
        <v>1</v>
      </c>
      <c r="I30" s="214">
        <v>5</v>
      </c>
      <c r="J30" s="214">
        <f t="shared" si="0"/>
        <v>3</v>
      </c>
      <c r="K30" s="184" t="str">
        <f t="shared" si="1"/>
        <v>Medio</v>
      </c>
      <c r="L30" s="184" t="str">
        <f t="shared" si="2"/>
        <v>Casi CiertaMedio</v>
      </c>
      <c r="M30" s="122" t="str">
        <f>+VLOOKUP(L30,DATOS!AW:AY,3,0)</f>
        <v>Alto</v>
      </c>
      <c r="N30" s="185" t="s">
        <v>18</v>
      </c>
      <c r="O30" s="184">
        <f>+VLOOKUP(E30,DATOS!A:B,2,0)</f>
        <v>5</v>
      </c>
      <c r="P30" s="184">
        <f>+VLOOKUP(N30,DATOS!D:E,2,0)</f>
        <v>4</v>
      </c>
      <c r="Q30" s="184">
        <f t="shared" si="4"/>
        <v>20</v>
      </c>
      <c r="R30" s="122" t="str">
        <f>+VLOOKUP(Q30,DATOS!M:P,4,0)</f>
        <v>EXTREMO</v>
      </c>
      <c r="S30" s="184" t="str">
        <f>+IF(ISERROR(VLOOKUP(R30,DATOS!P:T,5,0)),"",VLOOKUP(R30,DATOS!P:T,5,0))</f>
        <v>Prevenir/Tratar/Evitar</v>
      </c>
    </row>
    <row r="31" spans="1:19" ht="60" x14ac:dyDescent="0.25">
      <c r="A31" s="183">
        <v>20</v>
      </c>
      <c r="B31" s="184" t="s">
        <v>253</v>
      </c>
      <c r="C31" s="184" t="s">
        <v>169</v>
      </c>
      <c r="D31" s="184" t="s">
        <v>261</v>
      </c>
      <c r="E31" s="185" t="s">
        <v>122</v>
      </c>
      <c r="F31" s="214">
        <v>3</v>
      </c>
      <c r="G31" s="214">
        <v>4</v>
      </c>
      <c r="H31" s="214">
        <v>2</v>
      </c>
      <c r="I31" s="214">
        <v>5</v>
      </c>
      <c r="J31" s="214">
        <f t="shared" si="0"/>
        <v>3.5</v>
      </c>
      <c r="K31" s="184" t="str">
        <f t="shared" si="1"/>
        <v>Medio</v>
      </c>
      <c r="L31" s="184" t="str">
        <f t="shared" si="2"/>
        <v>ProbableMedio</v>
      </c>
      <c r="M31" s="122" t="str">
        <f>+VLOOKUP(L31,DATOS!AW:AY,3,0)</f>
        <v>Medio</v>
      </c>
      <c r="N31" s="185" t="s">
        <v>18</v>
      </c>
      <c r="O31" s="184">
        <f>+VLOOKUP(E31,DATOS!A:B,2,0)</f>
        <v>4</v>
      </c>
      <c r="P31" s="184">
        <f>+VLOOKUP(N31,DATOS!D:E,2,0)</f>
        <v>4</v>
      </c>
      <c r="Q31" s="184">
        <f t="shared" si="4"/>
        <v>16</v>
      </c>
      <c r="R31" s="122" t="str">
        <f>+VLOOKUP(Q31,DATOS!M:P,4,0)</f>
        <v>ALTO</v>
      </c>
      <c r="S31" s="184" t="str">
        <f>+IF(ISERROR(VLOOKUP(R31,DATOS!P:T,5,0)),"",VLOOKUP(R31,DATOS!P:T,5,0))</f>
        <v>Prevenir/Tratar/Evitar</v>
      </c>
    </row>
    <row r="32" spans="1:19" ht="45" x14ac:dyDescent="0.25">
      <c r="A32" s="183">
        <v>21</v>
      </c>
      <c r="B32" s="184" t="s">
        <v>168</v>
      </c>
      <c r="C32" s="184" t="s">
        <v>21</v>
      </c>
      <c r="D32" s="184" t="s">
        <v>259</v>
      </c>
      <c r="E32" s="185" t="s">
        <v>121</v>
      </c>
      <c r="F32" s="214">
        <v>2</v>
      </c>
      <c r="G32" s="214">
        <v>3</v>
      </c>
      <c r="H32" s="214">
        <v>1</v>
      </c>
      <c r="I32" s="214">
        <v>5</v>
      </c>
      <c r="J32" s="214">
        <f t="shared" si="0"/>
        <v>2.75</v>
      </c>
      <c r="K32" s="184" t="str">
        <f t="shared" si="1"/>
        <v>Bajo</v>
      </c>
      <c r="L32" s="184" t="str">
        <f t="shared" si="2"/>
        <v>Casi CiertaBajo</v>
      </c>
      <c r="M32" s="122" t="str">
        <f>+VLOOKUP(L32,DATOS!AW:AY,3,0)</f>
        <v>Medio</v>
      </c>
      <c r="N32" s="185" t="s">
        <v>17</v>
      </c>
      <c r="O32" s="184">
        <f>+VLOOKUP(E32,DATOS!A:B,2,0)</f>
        <v>5</v>
      </c>
      <c r="P32" s="184">
        <f>+VLOOKUP(N32,DATOS!D:E,2,0)</f>
        <v>5</v>
      </c>
      <c r="Q32" s="184">
        <f t="shared" si="4"/>
        <v>25</v>
      </c>
      <c r="R32" s="122" t="str">
        <f>+VLOOKUP(Q32,DATOS!M:P,4,0)</f>
        <v>EXTREMO</v>
      </c>
      <c r="S32" s="184" t="str">
        <f>+IF(ISERROR(VLOOKUP(R32,DATOS!P:T,5,0)),"",VLOOKUP(R32,DATOS!P:T,5,0))</f>
        <v>Prevenir/Tratar/Evitar</v>
      </c>
    </row>
    <row r="33" spans="4:17" x14ac:dyDescent="0.25">
      <c r="D33" s="59" t="s">
        <v>238</v>
      </c>
      <c r="F33" s="60">
        <f>+AVERAGEIF(F12:F32,"&lt;&gt;0")</f>
        <v>2.2857142857142856</v>
      </c>
      <c r="G33" s="60">
        <f>+AVERAGEIF(G12:G32,"&lt;&gt;0")</f>
        <v>3.5714285714285716</v>
      </c>
      <c r="H33" s="60">
        <f>+AVERAGEIF(H12:H32,"&lt;&gt;0")</f>
        <v>1.5</v>
      </c>
      <c r="I33" s="60">
        <f>+AVERAGEIF(I12:I32,"&lt;&gt;0")</f>
        <v>4.7142857142857144</v>
      </c>
      <c r="J33" s="214">
        <f t="shared" si="0"/>
        <v>3.0178571428571432</v>
      </c>
      <c r="O33" s="60">
        <f>+AVERAGE(O12:O32)</f>
        <v>4.666666666666667</v>
      </c>
      <c r="P33" s="60">
        <f>+AVERAGE(P12:P32)</f>
        <v>4.333333333333333</v>
      </c>
      <c r="Q33" s="60">
        <f>+AVERAGE(Q12:Q32)</f>
        <v>20.285714285714285</v>
      </c>
    </row>
    <row r="34" spans="4:17" x14ac:dyDescent="0.25">
      <c r="F34" s="60"/>
      <c r="G34" s="60"/>
      <c r="H34" s="60"/>
      <c r="I34" s="60"/>
      <c r="J34" s="60"/>
    </row>
    <row r="35" spans="4:17" x14ac:dyDescent="0.25">
      <c r="F35" s="60"/>
      <c r="G35" s="60"/>
      <c r="H35" s="60"/>
      <c r="I35" s="60"/>
      <c r="J35" s="60"/>
    </row>
    <row r="36" spans="4:17" x14ac:dyDescent="0.25">
      <c r="F36" s="60"/>
      <c r="G36" s="60"/>
      <c r="H36" s="60"/>
      <c r="I36" s="60"/>
      <c r="J36" s="60"/>
    </row>
    <row r="37" spans="4:17" x14ac:dyDescent="0.25">
      <c r="F37" s="60"/>
      <c r="G37" s="60"/>
      <c r="H37" s="60"/>
      <c r="I37" s="60"/>
      <c r="J37" s="60"/>
    </row>
    <row r="38" spans="4:17" x14ac:dyDescent="0.25">
      <c r="F38" s="60"/>
      <c r="G38" s="60"/>
      <c r="H38" s="60"/>
      <c r="I38" s="60"/>
      <c r="J38" s="60"/>
    </row>
    <row r="39" spans="4:17" x14ac:dyDescent="0.25">
      <c r="F39" s="60"/>
      <c r="G39" s="60"/>
      <c r="H39" s="60"/>
      <c r="I39" s="60"/>
      <c r="J39" s="60"/>
    </row>
    <row r="40" spans="4:17" x14ac:dyDescent="0.25">
      <c r="F40" s="60"/>
      <c r="G40" s="60"/>
      <c r="H40" s="60"/>
      <c r="I40" s="60"/>
      <c r="J40" s="60"/>
    </row>
    <row r="41" spans="4:17" x14ac:dyDescent="0.25">
      <c r="F41" s="60"/>
      <c r="G41" s="60"/>
      <c r="H41" s="60"/>
      <c r="I41" s="60"/>
      <c r="J41" s="60"/>
    </row>
    <row r="42" spans="4:17" x14ac:dyDescent="0.25">
      <c r="F42" s="60"/>
      <c r="G42" s="60"/>
      <c r="H42" s="60"/>
      <c r="I42" s="60"/>
      <c r="J42" s="60"/>
    </row>
    <row r="43" spans="4:17" x14ac:dyDescent="0.25">
      <c r="F43" s="60"/>
      <c r="G43" s="60"/>
      <c r="H43" s="60"/>
      <c r="I43" s="60"/>
      <c r="J43" s="60"/>
    </row>
    <row r="44" spans="4:17" x14ac:dyDescent="0.25">
      <c r="F44" s="60"/>
      <c r="G44" s="60"/>
      <c r="H44" s="60"/>
      <c r="I44" s="60"/>
      <c r="J44" s="60"/>
    </row>
    <row r="45" spans="4:17" x14ac:dyDescent="0.25">
      <c r="F45" s="60"/>
      <c r="G45" s="60"/>
      <c r="H45" s="60"/>
      <c r="I45" s="60"/>
      <c r="J45" s="60"/>
    </row>
    <row r="46" spans="4:17" x14ac:dyDescent="0.25">
      <c r="F46" s="60"/>
      <c r="G46" s="60"/>
      <c r="H46" s="60"/>
      <c r="I46" s="60"/>
      <c r="J46" s="60"/>
    </row>
    <row r="47" spans="4:17" x14ac:dyDescent="0.25">
      <c r="F47" s="60"/>
      <c r="G47" s="60"/>
      <c r="H47" s="60"/>
      <c r="I47" s="60"/>
      <c r="J47" s="60"/>
    </row>
    <row r="48" spans="4:17" x14ac:dyDescent="0.25">
      <c r="F48" s="60"/>
      <c r="G48" s="60"/>
      <c r="H48" s="60"/>
      <c r="I48" s="60"/>
      <c r="J48" s="60"/>
    </row>
    <row r="49" spans="6:10" x14ac:dyDescent="0.25">
      <c r="F49" s="60"/>
      <c r="G49" s="60"/>
      <c r="H49" s="60"/>
      <c r="I49" s="60"/>
      <c r="J49" s="60"/>
    </row>
    <row r="50" spans="6:10" x14ac:dyDescent="0.25">
      <c r="F50" s="60"/>
      <c r="G50" s="60"/>
      <c r="H50" s="60"/>
      <c r="I50" s="60"/>
      <c r="J50" s="60"/>
    </row>
    <row r="51" spans="6:10" x14ac:dyDescent="0.25">
      <c r="F51" s="60"/>
      <c r="G51" s="60"/>
      <c r="H51" s="60"/>
      <c r="I51" s="60"/>
      <c r="J51" s="60"/>
    </row>
    <row r="52" spans="6:10" x14ac:dyDescent="0.25">
      <c r="F52" s="60"/>
      <c r="G52" s="60"/>
      <c r="H52" s="60"/>
      <c r="I52" s="60"/>
      <c r="J52" s="60"/>
    </row>
    <row r="53" spans="6:10" x14ac:dyDescent="0.25">
      <c r="F53" s="60"/>
      <c r="G53" s="60"/>
      <c r="H53" s="60"/>
      <c r="I53" s="60"/>
      <c r="J53" s="60"/>
    </row>
    <row r="54" spans="6:10" x14ac:dyDescent="0.25">
      <c r="F54" s="60"/>
      <c r="G54" s="60"/>
      <c r="H54" s="60"/>
      <c r="I54" s="60"/>
      <c r="J54" s="60"/>
    </row>
    <row r="55" spans="6:10" x14ac:dyDescent="0.25">
      <c r="F55" s="60"/>
      <c r="G55" s="60"/>
      <c r="H55" s="60"/>
      <c r="I55" s="60"/>
      <c r="J55" s="60"/>
    </row>
    <row r="56" spans="6:10" x14ac:dyDescent="0.25">
      <c r="F56" s="60"/>
      <c r="G56" s="60"/>
      <c r="H56" s="60"/>
      <c r="I56" s="60"/>
      <c r="J56" s="60"/>
    </row>
    <row r="57" spans="6:10" x14ac:dyDescent="0.25">
      <c r="F57" s="60"/>
      <c r="G57" s="60"/>
      <c r="H57" s="60"/>
      <c r="I57" s="60"/>
      <c r="J57" s="60"/>
    </row>
    <row r="58" spans="6:10" x14ac:dyDescent="0.25">
      <c r="F58" s="60"/>
      <c r="G58" s="60"/>
      <c r="H58" s="60"/>
      <c r="I58" s="60"/>
      <c r="J58" s="60"/>
    </row>
    <row r="59" spans="6:10" x14ac:dyDescent="0.25">
      <c r="F59" s="60"/>
      <c r="G59" s="60"/>
      <c r="H59" s="60"/>
      <c r="I59" s="60"/>
      <c r="J59" s="60"/>
    </row>
    <row r="60" spans="6:10" x14ac:dyDescent="0.25">
      <c r="F60" s="60"/>
      <c r="G60" s="60"/>
      <c r="H60" s="60"/>
      <c r="I60" s="60"/>
      <c r="J60" s="60"/>
    </row>
    <row r="61" spans="6:10" x14ac:dyDescent="0.25">
      <c r="F61" s="60"/>
      <c r="G61" s="60"/>
      <c r="H61" s="60"/>
      <c r="I61" s="60"/>
      <c r="J61" s="60"/>
    </row>
    <row r="62" spans="6:10" x14ac:dyDescent="0.25">
      <c r="F62" s="60"/>
      <c r="G62" s="60"/>
      <c r="H62" s="60"/>
      <c r="I62" s="60"/>
      <c r="J62" s="60"/>
    </row>
    <row r="63" spans="6:10" x14ac:dyDescent="0.25">
      <c r="F63" s="60"/>
      <c r="G63" s="60"/>
      <c r="H63" s="60"/>
      <c r="I63" s="60"/>
      <c r="J63" s="60"/>
    </row>
    <row r="64" spans="6:10" x14ac:dyDescent="0.25">
      <c r="F64" s="60"/>
      <c r="G64" s="60"/>
      <c r="H64" s="60"/>
      <c r="I64" s="60"/>
      <c r="J64" s="60"/>
    </row>
    <row r="65" spans="6:10" x14ac:dyDescent="0.25">
      <c r="F65" s="60"/>
      <c r="G65" s="60"/>
      <c r="H65" s="60"/>
      <c r="I65" s="60"/>
      <c r="J65" s="60"/>
    </row>
    <row r="66" spans="6:10" x14ac:dyDescent="0.25">
      <c r="F66" s="60"/>
      <c r="G66" s="60"/>
      <c r="H66" s="60"/>
      <c r="I66" s="60"/>
      <c r="J66" s="60"/>
    </row>
    <row r="67" spans="6:10" x14ac:dyDescent="0.25">
      <c r="F67" s="60"/>
      <c r="G67" s="60"/>
      <c r="H67" s="60"/>
      <c r="I67" s="60"/>
      <c r="J67" s="60"/>
    </row>
    <row r="68" spans="6:10" x14ac:dyDescent="0.25">
      <c r="F68" s="60"/>
      <c r="G68" s="60"/>
      <c r="H68" s="60"/>
      <c r="I68" s="60"/>
      <c r="J68" s="60"/>
    </row>
    <row r="69" spans="6:10" x14ac:dyDescent="0.25">
      <c r="F69" s="60"/>
      <c r="G69" s="60"/>
      <c r="H69" s="60"/>
      <c r="I69" s="60"/>
      <c r="J69" s="60"/>
    </row>
    <row r="70" spans="6:10" x14ac:dyDescent="0.25">
      <c r="F70" s="60"/>
      <c r="G70" s="60"/>
      <c r="H70" s="60"/>
      <c r="I70" s="60"/>
      <c r="J70" s="60"/>
    </row>
    <row r="71" spans="6:10" x14ac:dyDescent="0.25">
      <c r="F71" s="60"/>
      <c r="G71" s="60"/>
      <c r="H71" s="60"/>
      <c r="I71" s="60"/>
      <c r="J71" s="60"/>
    </row>
    <row r="72" spans="6:10" x14ac:dyDescent="0.25">
      <c r="F72" s="60"/>
      <c r="G72" s="60"/>
      <c r="H72" s="60"/>
      <c r="I72" s="60"/>
      <c r="J72" s="60"/>
    </row>
    <row r="73" spans="6:10" x14ac:dyDescent="0.25">
      <c r="F73" s="60"/>
      <c r="G73" s="60"/>
      <c r="H73" s="60"/>
      <c r="I73" s="60"/>
      <c r="J73" s="60"/>
    </row>
    <row r="74" spans="6:10" x14ac:dyDescent="0.25">
      <c r="F74" s="60"/>
      <c r="G74" s="60"/>
      <c r="H74" s="60"/>
      <c r="I74" s="60"/>
      <c r="J74" s="60"/>
    </row>
    <row r="75" spans="6:10" x14ac:dyDescent="0.25">
      <c r="F75" s="60"/>
      <c r="G75" s="60"/>
      <c r="H75" s="60"/>
      <c r="I75" s="60"/>
      <c r="J75" s="60"/>
    </row>
    <row r="76" spans="6:10" x14ac:dyDescent="0.25">
      <c r="F76" s="60"/>
      <c r="G76" s="60"/>
      <c r="H76" s="60"/>
      <c r="I76" s="60"/>
      <c r="J76" s="60"/>
    </row>
    <row r="77" spans="6:10" x14ac:dyDescent="0.25">
      <c r="F77" s="60"/>
      <c r="G77" s="60"/>
      <c r="H77" s="60"/>
      <c r="I77" s="60"/>
      <c r="J77" s="60"/>
    </row>
    <row r="78" spans="6:10" x14ac:dyDescent="0.25">
      <c r="F78" s="60"/>
      <c r="G78" s="60"/>
      <c r="H78" s="60"/>
      <c r="I78" s="60"/>
      <c r="J78" s="60"/>
    </row>
    <row r="79" spans="6:10" x14ac:dyDescent="0.25">
      <c r="F79" s="60"/>
      <c r="G79" s="60"/>
      <c r="H79" s="60"/>
      <c r="I79" s="60"/>
      <c r="J79" s="60"/>
    </row>
    <row r="80" spans="6:10" x14ac:dyDescent="0.25">
      <c r="F80" s="60"/>
      <c r="G80" s="60"/>
      <c r="H80" s="60"/>
      <c r="I80" s="60"/>
      <c r="J80" s="60"/>
    </row>
    <row r="81" spans="6:10" x14ac:dyDescent="0.25">
      <c r="F81" s="60"/>
      <c r="G81" s="60"/>
      <c r="H81" s="60"/>
      <c r="I81" s="60"/>
      <c r="J81" s="60"/>
    </row>
    <row r="82" spans="6:10" x14ac:dyDescent="0.25">
      <c r="F82" s="60"/>
      <c r="G82" s="60"/>
      <c r="H82" s="60"/>
      <c r="I82" s="60"/>
      <c r="J82" s="60"/>
    </row>
    <row r="83" spans="6:10" x14ac:dyDescent="0.25">
      <c r="F83" s="60"/>
      <c r="G83" s="60"/>
      <c r="H83" s="60"/>
      <c r="I83" s="60"/>
      <c r="J83" s="60"/>
    </row>
    <row r="84" spans="6:10" x14ac:dyDescent="0.25">
      <c r="F84" s="60"/>
      <c r="G84" s="60"/>
      <c r="H84" s="60"/>
      <c r="I84" s="60"/>
      <c r="J84" s="60"/>
    </row>
    <row r="85" spans="6:10" x14ac:dyDescent="0.25">
      <c r="F85" s="60"/>
      <c r="G85" s="60"/>
      <c r="H85" s="60"/>
      <c r="I85" s="60"/>
      <c r="J85" s="60"/>
    </row>
    <row r="86" spans="6:10" x14ac:dyDescent="0.25">
      <c r="F86" s="60"/>
      <c r="G86" s="60"/>
      <c r="H86" s="60"/>
      <c r="I86" s="60"/>
      <c r="J86" s="60"/>
    </row>
    <row r="87" spans="6:10" x14ac:dyDescent="0.25">
      <c r="F87" s="60"/>
      <c r="G87" s="60"/>
      <c r="H87" s="60"/>
      <c r="I87" s="60"/>
      <c r="J87" s="60"/>
    </row>
    <row r="88" spans="6:10" x14ac:dyDescent="0.25">
      <c r="F88" s="60"/>
      <c r="G88" s="60"/>
      <c r="H88" s="60"/>
      <c r="I88" s="60"/>
      <c r="J88" s="60"/>
    </row>
    <row r="89" spans="6:10" x14ac:dyDescent="0.25">
      <c r="F89" s="60"/>
      <c r="G89" s="60"/>
      <c r="H89" s="60"/>
      <c r="I89" s="60"/>
      <c r="J89" s="60"/>
    </row>
    <row r="90" spans="6:10" x14ac:dyDescent="0.25">
      <c r="F90" s="60"/>
      <c r="G90" s="60"/>
      <c r="H90" s="60"/>
      <c r="I90" s="60"/>
      <c r="J90" s="60"/>
    </row>
    <row r="91" spans="6:10" x14ac:dyDescent="0.25">
      <c r="F91" s="60"/>
      <c r="G91" s="60"/>
      <c r="H91" s="60"/>
      <c r="I91" s="60"/>
      <c r="J91" s="60"/>
    </row>
    <row r="92" spans="6:10" x14ac:dyDescent="0.25">
      <c r="F92" s="60"/>
      <c r="G92" s="60"/>
      <c r="H92" s="60"/>
      <c r="I92" s="60"/>
      <c r="J92" s="60"/>
    </row>
    <row r="93" spans="6:10" x14ac:dyDescent="0.25">
      <c r="F93" s="60"/>
      <c r="G93" s="60"/>
      <c r="H93" s="60"/>
      <c r="I93" s="60"/>
      <c r="J93" s="60"/>
    </row>
    <row r="94" spans="6:10" x14ac:dyDescent="0.25">
      <c r="F94" s="60"/>
      <c r="G94" s="60"/>
      <c r="H94" s="60"/>
      <c r="I94" s="60"/>
      <c r="J94" s="60"/>
    </row>
    <row r="95" spans="6:10" x14ac:dyDescent="0.25">
      <c r="F95" s="60"/>
      <c r="G95" s="60"/>
      <c r="H95" s="60"/>
      <c r="I95" s="60"/>
      <c r="J95" s="60"/>
    </row>
    <row r="96" spans="6:10" x14ac:dyDescent="0.25">
      <c r="F96" s="60"/>
      <c r="G96" s="60"/>
      <c r="H96" s="60"/>
      <c r="I96" s="60"/>
      <c r="J96" s="60"/>
    </row>
    <row r="97" spans="6:10" x14ac:dyDescent="0.25">
      <c r="F97" s="60"/>
      <c r="G97" s="60"/>
      <c r="H97" s="60"/>
      <c r="I97" s="60"/>
      <c r="J97" s="60"/>
    </row>
    <row r="98" spans="6:10" x14ac:dyDescent="0.25">
      <c r="F98" s="60"/>
      <c r="G98" s="60"/>
      <c r="H98" s="60"/>
      <c r="I98" s="60"/>
      <c r="J98" s="60"/>
    </row>
    <row r="99" spans="6:10" x14ac:dyDescent="0.25">
      <c r="F99" s="60"/>
      <c r="G99" s="60"/>
      <c r="H99" s="60"/>
      <c r="I99" s="60"/>
      <c r="J99" s="60"/>
    </row>
    <row r="100" spans="6:10" x14ac:dyDescent="0.25">
      <c r="F100" s="60"/>
      <c r="G100" s="60"/>
      <c r="H100" s="60"/>
      <c r="I100" s="60"/>
      <c r="J100" s="60"/>
    </row>
    <row r="101" spans="6:10" x14ac:dyDescent="0.25">
      <c r="F101" s="60"/>
      <c r="G101" s="60"/>
      <c r="H101" s="60"/>
      <c r="I101" s="60"/>
      <c r="J101" s="60"/>
    </row>
    <row r="102" spans="6:10" x14ac:dyDescent="0.25">
      <c r="F102" s="60"/>
      <c r="G102" s="60"/>
      <c r="H102" s="60"/>
      <c r="I102" s="60"/>
      <c r="J102" s="60"/>
    </row>
    <row r="103" spans="6:10" x14ac:dyDescent="0.25">
      <c r="F103" s="60"/>
      <c r="G103" s="60"/>
      <c r="H103" s="60"/>
      <c r="I103" s="60"/>
      <c r="J103" s="60"/>
    </row>
    <row r="104" spans="6:10" x14ac:dyDescent="0.25">
      <c r="F104" s="60"/>
      <c r="G104" s="60"/>
      <c r="H104" s="60"/>
      <c r="I104" s="60"/>
      <c r="J104" s="60"/>
    </row>
    <row r="105" spans="6:10" x14ac:dyDescent="0.25">
      <c r="F105" s="60"/>
      <c r="G105" s="60"/>
      <c r="H105" s="60"/>
      <c r="I105" s="60"/>
      <c r="J105" s="60"/>
    </row>
    <row r="106" spans="6:10" x14ac:dyDescent="0.25">
      <c r="F106" s="60"/>
      <c r="G106" s="60"/>
      <c r="H106" s="60"/>
      <c r="I106" s="60"/>
      <c r="J106" s="60"/>
    </row>
    <row r="107" spans="6:10" x14ac:dyDescent="0.25">
      <c r="F107" s="60"/>
      <c r="G107" s="60"/>
      <c r="H107" s="60"/>
      <c r="I107" s="60"/>
      <c r="J107" s="60"/>
    </row>
    <row r="108" spans="6:10" x14ac:dyDescent="0.25">
      <c r="F108" s="60"/>
      <c r="G108" s="60"/>
      <c r="H108" s="60"/>
      <c r="I108" s="60"/>
      <c r="J108" s="60"/>
    </row>
    <row r="109" spans="6:10" x14ac:dyDescent="0.25">
      <c r="F109" s="60"/>
      <c r="G109" s="60"/>
      <c r="H109" s="60"/>
      <c r="I109" s="60"/>
      <c r="J109" s="60"/>
    </row>
    <row r="110" spans="6:10" x14ac:dyDescent="0.25">
      <c r="F110" s="60"/>
      <c r="G110" s="60"/>
      <c r="H110" s="60"/>
      <c r="I110" s="60"/>
      <c r="J110" s="60"/>
    </row>
    <row r="111" spans="6:10" x14ac:dyDescent="0.25">
      <c r="F111" s="60"/>
      <c r="G111" s="60"/>
      <c r="H111" s="60"/>
      <c r="I111" s="60"/>
      <c r="J111" s="60"/>
    </row>
    <row r="112" spans="6:10" x14ac:dyDescent="0.25">
      <c r="F112" s="60"/>
      <c r="G112" s="60"/>
      <c r="H112" s="60"/>
      <c r="I112" s="60"/>
      <c r="J112" s="60"/>
    </row>
    <row r="113" spans="6:10" x14ac:dyDescent="0.25">
      <c r="F113" s="60"/>
      <c r="G113" s="60"/>
      <c r="H113" s="60"/>
      <c r="I113" s="60"/>
      <c r="J113" s="60"/>
    </row>
    <row r="114" spans="6:10" x14ac:dyDescent="0.25">
      <c r="F114" s="60"/>
      <c r="G114" s="60"/>
      <c r="H114" s="60"/>
      <c r="I114" s="60"/>
      <c r="J114" s="60"/>
    </row>
    <row r="115" spans="6:10" x14ac:dyDescent="0.25">
      <c r="F115" s="60"/>
      <c r="G115" s="60"/>
      <c r="H115" s="60"/>
      <c r="I115" s="60"/>
      <c r="J115" s="60"/>
    </row>
    <row r="116" spans="6:10" x14ac:dyDescent="0.25">
      <c r="F116" s="60"/>
      <c r="G116" s="60"/>
      <c r="H116" s="60"/>
      <c r="I116" s="60"/>
      <c r="J116" s="60"/>
    </row>
    <row r="117" spans="6:10" x14ac:dyDescent="0.25">
      <c r="F117" s="60"/>
      <c r="G117" s="60"/>
      <c r="H117" s="60"/>
      <c r="I117" s="60"/>
      <c r="J117" s="60"/>
    </row>
    <row r="118" spans="6:10" x14ac:dyDescent="0.25">
      <c r="F118" s="60"/>
      <c r="G118" s="60"/>
      <c r="H118" s="60"/>
      <c r="I118" s="60"/>
      <c r="J118" s="60"/>
    </row>
    <row r="119" spans="6:10" x14ac:dyDescent="0.25">
      <c r="F119" s="60"/>
      <c r="G119" s="60"/>
      <c r="H119" s="60"/>
      <c r="I119" s="60"/>
      <c r="J119" s="60"/>
    </row>
    <row r="120" spans="6:10" x14ac:dyDescent="0.25">
      <c r="F120" s="60"/>
      <c r="G120" s="60"/>
      <c r="H120" s="60"/>
      <c r="I120" s="60"/>
      <c r="J120" s="60"/>
    </row>
    <row r="121" spans="6:10" x14ac:dyDescent="0.25">
      <c r="F121" s="60"/>
      <c r="G121" s="60"/>
      <c r="H121" s="60"/>
      <c r="I121" s="60"/>
      <c r="J121" s="60"/>
    </row>
    <row r="122" spans="6:10" x14ac:dyDescent="0.25">
      <c r="F122" s="60"/>
      <c r="G122" s="60"/>
      <c r="H122" s="60"/>
      <c r="I122" s="60"/>
      <c r="J122" s="60"/>
    </row>
    <row r="123" spans="6:10" x14ac:dyDescent="0.25">
      <c r="F123" s="60"/>
      <c r="G123" s="60"/>
      <c r="H123" s="60"/>
      <c r="I123" s="60"/>
      <c r="J123" s="60"/>
    </row>
    <row r="124" spans="6:10" x14ac:dyDescent="0.25">
      <c r="F124" s="60"/>
      <c r="G124" s="60"/>
      <c r="H124" s="60"/>
      <c r="I124" s="60"/>
      <c r="J124" s="60"/>
    </row>
    <row r="125" spans="6:10" x14ac:dyDescent="0.25">
      <c r="F125" s="60"/>
      <c r="G125" s="60"/>
      <c r="H125" s="60"/>
      <c r="I125" s="60"/>
      <c r="J125" s="60"/>
    </row>
    <row r="126" spans="6:10" x14ac:dyDescent="0.25">
      <c r="F126" s="60"/>
      <c r="G126" s="60"/>
      <c r="H126" s="60"/>
      <c r="I126" s="60"/>
      <c r="J126" s="60"/>
    </row>
    <row r="127" spans="6:10" x14ac:dyDescent="0.25">
      <c r="F127" s="60"/>
      <c r="G127" s="60"/>
      <c r="H127" s="60"/>
      <c r="I127" s="60"/>
      <c r="J127" s="60"/>
    </row>
    <row r="128" spans="6:10" x14ac:dyDescent="0.25">
      <c r="F128" s="60"/>
      <c r="G128" s="60"/>
      <c r="H128" s="60"/>
      <c r="I128" s="60"/>
      <c r="J128" s="60"/>
    </row>
    <row r="129" spans="6:10" x14ac:dyDescent="0.25">
      <c r="F129" s="60"/>
      <c r="G129" s="60"/>
      <c r="H129" s="60"/>
      <c r="I129" s="60"/>
      <c r="J129" s="60"/>
    </row>
    <row r="130" spans="6:10" x14ac:dyDescent="0.25">
      <c r="F130" s="60"/>
      <c r="G130" s="60"/>
      <c r="H130" s="60"/>
      <c r="I130" s="60"/>
      <c r="J130" s="60"/>
    </row>
    <row r="131" spans="6:10" x14ac:dyDescent="0.25">
      <c r="F131" s="60"/>
      <c r="G131" s="60"/>
      <c r="H131" s="60"/>
      <c r="I131" s="60"/>
      <c r="J131" s="60"/>
    </row>
    <row r="132" spans="6:10" x14ac:dyDescent="0.25">
      <c r="F132" s="60"/>
      <c r="G132" s="60"/>
      <c r="H132" s="60"/>
      <c r="I132" s="60"/>
      <c r="J132" s="60"/>
    </row>
    <row r="133" spans="6:10" x14ac:dyDescent="0.25">
      <c r="F133" s="60"/>
      <c r="G133" s="60"/>
      <c r="H133" s="60"/>
      <c r="I133" s="60"/>
      <c r="J133" s="60"/>
    </row>
    <row r="134" spans="6:10" x14ac:dyDescent="0.25">
      <c r="F134" s="60"/>
      <c r="G134" s="60"/>
      <c r="H134" s="60"/>
      <c r="I134" s="60"/>
      <c r="J134" s="60"/>
    </row>
    <row r="135" spans="6:10" x14ac:dyDescent="0.25">
      <c r="F135" s="60"/>
      <c r="G135" s="60"/>
      <c r="H135" s="60"/>
      <c r="I135" s="60"/>
      <c r="J135" s="60"/>
    </row>
    <row r="136" spans="6:10" x14ac:dyDescent="0.25">
      <c r="F136" s="60"/>
      <c r="G136" s="60"/>
      <c r="H136" s="60"/>
      <c r="I136" s="60"/>
      <c r="J136" s="60"/>
    </row>
    <row r="137" spans="6:10" x14ac:dyDescent="0.25">
      <c r="F137" s="60"/>
      <c r="G137" s="60"/>
      <c r="H137" s="60"/>
      <c r="I137" s="60"/>
      <c r="J137" s="60"/>
    </row>
    <row r="138" spans="6:10" x14ac:dyDescent="0.25">
      <c r="F138" s="60"/>
      <c r="G138" s="60"/>
      <c r="H138" s="60"/>
      <c r="I138" s="60"/>
      <c r="J138" s="60"/>
    </row>
    <row r="139" spans="6:10" x14ac:dyDescent="0.25">
      <c r="F139" s="60"/>
      <c r="G139" s="60"/>
      <c r="H139" s="60"/>
      <c r="I139" s="60"/>
      <c r="J139" s="60"/>
    </row>
    <row r="140" spans="6:10" x14ac:dyDescent="0.25">
      <c r="F140" s="60"/>
      <c r="G140" s="60"/>
      <c r="H140" s="60"/>
      <c r="I140" s="60"/>
      <c r="J140" s="60"/>
    </row>
    <row r="141" spans="6:10" x14ac:dyDescent="0.25">
      <c r="F141" s="60"/>
      <c r="G141" s="60"/>
      <c r="H141" s="60"/>
      <c r="I141" s="60"/>
      <c r="J141" s="60"/>
    </row>
    <row r="142" spans="6:10" x14ac:dyDescent="0.25">
      <c r="F142" s="60"/>
      <c r="G142" s="60"/>
      <c r="H142" s="60"/>
      <c r="I142" s="60"/>
      <c r="J142" s="60"/>
    </row>
    <row r="143" spans="6:10" x14ac:dyDescent="0.25">
      <c r="F143" s="60"/>
      <c r="G143" s="60"/>
      <c r="H143" s="60"/>
      <c r="I143" s="60"/>
      <c r="J143" s="60"/>
    </row>
    <row r="144" spans="6:10" x14ac:dyDescent="0.25">
      <c r="F144" s="60"/>
      <c r="G144" s="60"/>
      <c r="H144" s="60"/>
      <c r="I144" s="60"/>
      <c r="J144" s="60"/>
    </row>
    <row r="145" spans="6:10" x14ac:dyDescent="0.25">
      <c r="F145" s="60"/>
      <c r="G145" s="60"/>
      <c r="H145" s="60"/>
      <c r="I145" s="60"/>
      <c r="J145" s="60"/>
    </row>
    <row r="146" spans="6:10" x14ac:dyDescent="0.25">
      <c r="F146" s="60"/>
      <c r="G146" s="60"/>
      <c r="H146" s="60"/>
      <c r="I146" s="60"/>
      <c r="J146" s="60"/>
    </row>
    <row r="147" spans="6:10" x14ac:dyDescent="0.25">
      <c r="F147" s="60"/>
      <c r="G147" s="60"/>
      <c r="H147" s="60"/>
      <c r="I147" s="60"/>
      <c r="J147" s="60"/>
    </row>
    <row r="148" spans="6:10" x14ac:dyDescent="0.25">
      <c r="F148" s="60"/>
      <c r="G148" s="60"/>
      <c r="H148" s="60"/>
      <c r="I148" s="60"/>
      <c r="J148" s="60"/>
    </row>
    <row r="149" spans="6:10" x14ac:dyDescent="0.25">
      <c r="F149" s="60"/>
      <c r="G149" s="60"/>
      <c r="H149" s="60"/>
      <c r="I149" s="60"/>
      <c r="J149" s="60"/>
    </row>
    <row r="150" spans="6:10" x14ac:dyDescent="0.25">
      <c r="F150" s="60"/>
      <c r="G150" s="60"/>
      <c r="H150" s="60"/>
      <c r="I150" s="60"/>
      <c r="J150" s="60"/>
    </row>
    <row r="151" spans="6:10" x14ac:dyDescent="0.25">
      <c r="F151" s="60"/>
      <c r="G151" s="60"/>
      <c r="H151" s="60"/>
      <c r="I151" s="60"/>
      <c r="J151" s="60"/>
    </row>
    <row r="152" spans="6:10" x14ac:dyDescent="0.25">
      <c r="F152" s="60"/>
      <c r="G152" s="60"/>
      <c r="H152" s="60"/>
      <c r="I152" s="60"/>
      <c r="J152" s="60"/>
    </row>
    <row r="153" spans="6:10" x14ac:dyDescent="0.25">
      <c r="F153" s="60"/>
      <c r="G153" s="60"/>
      <c r="H153" s="60"/>
      <c r="I153" s="60"/>
      <c r="J153" s="60"/>
    </row>
    <row r="154" spans="6:10" x14ac:dyDescent="0.25">
      <c r="F154" s="60"/>
      <c r="G154" s="60"/>
      <c r="H154" s="60"/>
      <c r="I154" s="60"/>
      <c r="J154" s="60"/>
    </row>
    <row r="155" spans="6:10" x14ac:dyDescent="0.25">
      <c r="F155" s="60"/>
      <c r="G155" s="60"/>
      <c r="H155" s="60"/>
      <c r="I155" s="60"/>
      <c r="J155" s="60"/>
    </row>
    <row r="156" spans="6:10" x14ac:dyDescent="0.25">
      <c r="F156" s="60"/>
      <c r="G156" s="60"/>
      <c r="H156" s="60"/>
      <c r="I156" s="60"/>
      <c r="J156" s="60"/>
    </row>
    <row r="157" spans="6:10" x14ac:dyDescent="0.25">
      <c r="F157" s="60"/>
      <c r="G157" s="60"/>
      <c r="H157" s="60"/>
      <c r="I157" s="60"/>
      <c r="J157" s="60"/>
    </row>
    <row r="158" spans="6:10" x14ac:dyDescent="0.25">
      <c r="F158" s="60"/>
      <c r="G158" s="60"/>
      <c r="H158" s="60"/>
      <c r="I158" s="60"/>
      <c r="J158" s="60"/>
    </row>
    <row r="159" spans="6:10" x14ac:dyDescent="0.25">
      <c r="F159" s="60"/>
      <c r="G159" s="60"/>
      <c r="H159" s="60"/>
      <c r="I159" s="60"/>
      <c r="J159" s="60"/>
    </row>
    <row r="160" spans="6:10" x14ac:dyDescent="0.25">
      <c r="F160" s="60"/>
      <c r="G160" s="60"/>
      <c r="H160" s="60"/>
      <c r="I160" s="60"/>
      <c r="J160" s="60"/>
    </row>
    <row r="161" spans="6:10" x14ac:dyDescent="0.25">
      <c r="F161" s="60"/>
      <c r="G161" s="60"/>
      <c r="H161" s="60"/>
      <c r="I161" s="60"/>
      <c r="J161" s="60"/>
    </row>
    <row r="162" spans="6:10" x14ac:dyDescent="0.25">
      <c r="F162" s="60"/>
      <c r="G162" s="60"/>
      <c r="H162" s="60"/>
      <c r="I162" s="60"/>
      <c r="J162" s="60"/>
    </row>
    <row r="163" spans="6:10" x14ac:dyDescent="0.25">
      <c r="F163" s="60"/>
      <c r="G163" s="60"/>
      <c r="H163" s="60"/>
      <c r="I163" s="60"/>
      <c r="J163" s="60"/>
    </row>
    <row r="164" spans="6:10" x14ac:dyDescent="0.25">
      <c r="F164" s="60"/>
      <c r="G164" s="60"/>
      <c r="H164" s="60"/>
      <c r="I164" s="60"/>
      <c r="J164" s="60"/>
    </row>
    <row r="165" spans="6:10" x14ac:dyDescent="0.25">
      <c r="F165" s="60"/>
      <c r="G165" s="60"/>
      <c r="H165" s="60"/>
      <c r="I165" s="60"/>
      <c r="J165" s="60"/>
    </row>
    <row r="166" spans="6:10" x14ac:dyDescent="0.25">
      <c r="F166" s="60"/>
      <c r="G166" s="60"/>
      <c r="H166" s="60"/>
      <c r="I166" s="60"/>
      <c r="J166" s="60"/>
    </row>
    <row r="167" spans="6:10" x14ac:dyDescent="0.25">
      <c r="F167" s="60"/>
      <c r="G167" s="60"/>
      <c r="H167" s="60"/>
      <c r="I167" s="60"/>
      <c r="J167" s="60"/>
    </row>
    <row r="168" spans="6:10" x14ac:dyDescent="0.25">
      <c r="F168" s="60"/>
      <c r="G168" s="60"/>
      <c r="H168" s="60"/>
      <c r="I168" s="60"/>
      <c r="J168" s="60"/>
    </row>
    <row r="169" spans="6:10" x14ac:dyDescent="0.25">
      <c r="F169" s="60"/>
      <c r="G169" s="60"/>
      <c r="H169" s="60"/>
      <c r="I169" s="60"/>
      <c r="J169" s="60"/>
    </row>
    <row r="170" spans="6:10" x14ac:dyDescent="0.25">
      <c r="F170" s="60"/>
      <c r="G170" s="60"/>
      <c r="H170" s="60"/>
      <c r="I170" s="60"/>
      <c r="J170" s="60"/>
    </row>
    <row r="171" spans="6:10" x14ac:dyDescent="0.25">
      <c r="F171" s="60"/>
      <c r="G171" s="60"/>
      <c r="H171" s="60"/>
      <c r="I171" s="60"/>
      <c r="J171" s="60"/>
    </row>
    <row r="172" spans="6:10" x14ac:dyDescent="0.25">
      <c r="F172" s="60"/>
      <c r="G172" s="60"/>
      <c r="H172" s="60"/>
      <c r="I172" s="60"/>
      <c r="J172" s="60"/>
    </row>
    <row r="173" spans="6:10" x14ac:dyDescent="0.25">
      <c r="F173" s="60"/>
      <c r="G173" s="60"/>
      <c r="H173" s="60"/>
      <c r="I173" s="60"/>
      <c r="J173" s="60"/>
    </row>
    <row r="174" spans="6:10" x14ac:dyDescent="0.25">
      <c r="F174" s="60"/>
      <c r="G174" s="60"/>
      <c r="H174" s="60"/>
      <c r="I174" s="60"/>
      <c r="J174" s="60"/>
    </row>
    <row r="175" spans="6:10" x14ac:dyDescent="0.25">
      <c r="F175" s="60"/>
      <c r="G175" s="60"/>
      <c r="H175" s="60"/>
      <c r="I175" s="60"/>
      <c r="J175" s="60"/>
    </row>
    <row r="176" spans="6:10" x14ac:dyDescent="0.25">
      <c r="F176" s="60"/>
      <c r="G176" s="60"/>
      <c r="H176" s="60"/>
      <c r="I176" s="60"/>
      <c r="J176" s="60"/>
    </row>
    <row r="177" spans="6:10" x14ac:dyDescent="0.25">
      <c r="F177" s="60"/>
      <c r="G177" s="60"/>
      <c r="H177" s="60"/>
      <c r="I177" s="60"/>
      <c r="J177" s="60"/>
    </row>
    <row r="178" spans="6:10" x14ac:dyDescent="0.25">
      <c r="F178" s="60"/>
      <c r="G178" s="60"/>
      <c r="H178" s="60"/>
      <c r="I178" s="60"/>
      <c r="J178" s="60"/>
    </row>
    <row r="179" spans="6:10" x14ac:dyDescent="0.25">
      <c r="F179" s="60"/>
      <c r="G179" s="60"/>
      <c r="H179" s="60"/>
      <c r="I179" s="60"/>
      <c r="J179" s="60"/>
    </row>
    <row r="180" spans="6:10" x14ac:dyDescent="0.25">
      <c r="F180" s="60"/>
      <c r="G180" s="60"/>
      <c r="H180" s="60"/>
      <c r="I180" s="60"/>
      <c r="J180" s="60"/>
    </row>
    <row r="181" spans="6:10" x14ac:dyDescent="0.25">
      <c r="F181" s="60"/>
      <c r="G181" s="60"/>
      <c r="H181" s="60"/>
      <c r="I181" s="60"/>
      <c r="J181" s="60"/>
    </row>
    <row r="182" spans="6:10" x14ac:dyDescent="0.25">
      <c r="F182" s="60"/>
      <c r="G182" s="60"/>
      <c r="H182" s="60"/>
      <c r="I182" s="60"/>
      <c r="J182" s="60"/>
    </row>
    <row r="183" spans="6:10" x14ac:dyDescent="0.25">
      <c r="F183" s="60"/>
      <c r="G183" s="60"/>
      <c r="H183" s="60"/>
      <c r="I183" s="60"/>
      <c r="J183" s="60"/>
    </row>
    <row r="184" spans="6:10" x14ac:dyDescent="0.25">
      <c r="F184" s="60"/>
      <c r="G184" s="60"/>
      <c r="H184" s="60"/>
      <c r="I184" s="60"/>
      <c r="J184" s="60"/>
    </row>
    <row r="185" spans="6:10" x14ac:dyDescent="0.25">
      <c r="F185" s="60"/>
      <c r="G185" s="60"/>
      <c r="H185" s="60"/>
      <c r="I185" s="60"/>
      <c r="J185" s="60"/>
    </row>
    <row r="186" spans="6:10" x14ac:dyDescent="0.25">
      <c r="F186" s="60"/>
      <c r="G186" s="60"/>
      <c r="H186" s="60"/>
      <c r="I186" s="60"/>
      <c r="J186" s="60"/>
    </row>
    <row r="187" spans="6:10" x14ac:dyDescent="0.25">
      <c r="F187" s="60"/>
      <c r="G187" s="60"/>
      <c r="H187" s="60"/>
      <c r="I187" s="60"/>
      <c r="J187" s="60"/>
    </row>
    <row r="188" spans="6:10" x14ac:dyDescent="0.25">
      <c r="F188" s="60"/>
      <c r="G188" s="60"/>
      <c r="H188" s="60"/>
      <c r="I188" s="60"/>
      <c r="J188" s="60"/>
    </row>
    <row r="189" spans="6:10" x14ac:dyDescent="0.25">
      <c r="F189" s="60"/>
      <c r="G189" s="60"/>
      <c r="H189" s="60"/>
      <c r="I189" s="60"/>
      <c r="J189" s="60"/>
    </row>
    <row r="190" spans="6:10" x14ac:dyDescent="0.25">
      <c r="F190" s="60"/>
      <c r="G190" s="60"/>
      <c r="H190" s="60"/>
      <c r="I190" s="60"/>
      <c r="J190" s="60"/>
    </row>
    <row r="191" spans="6:10" x14ac:dyDescent="0.25">
      <c r="F191" s="60"/>
      <c r="G191" s="60"/>
      <c r="H191" s="60"/>
      <c r="I191" s="60"/>
      <c r="J191" s="60"/>
    </row>
    <row r="192" spans="6:10" x14ac:dyDescent="0.25">
      <c r="F192" s="60"/>
      <c r="G192" s="60"/>
      <c r="H192" s="60"/>
      <c r="I192" s="60"/>
      <c r="J192" s="60"/>
    </row>
    <row r="193" spans="6:10" x14ac:dyDescent="0.25">
      <c r="F193" s="60"/>
      <c r="G193" s="60"/>
      <c r="H193" s="60"/>
      <c r="I193" s="60"/>
      <c r="J193" s="60"/>
    </row>
    <row r="194" spans="6:10" x14ac:dyDescent="0.25">
      <c r="F194" s="60"/>
      <c r="G194" s="60"/>
      <c r="H194" s="60"/>
      <c r="I194" s="60"/>
      <c r="J194" s="60"/>
    </row>
    <row r="195" spans="6:10" x14ac:dyDescent="0.25">
      <c r="F195" s="60"/>
      <c r="G195" s="60"/>
      <c r="H195" s="60"/>
      <c r="I195" s="60"/>
      <c r="J195" s="60"/>
    </row>
    <row r="196" spans="6:10" x14ac:dyDescent="0.25">
      <c r="F196" s="60"/>
      <c r="G196" s="60"/>
      <c r="H196" s="60"/>
      <c r="I196" s="60"/>
      <c r="J196" s="60"/>
    </row>
    <row r="197" spans="6:10" x14ac:dyDescent="0.25">
      <c r="F197" s="60"/>
      <c r="G197" s="60"/>
      <c r="H197" s="60"/>
      <c r="I197" s="60"/>
      <c r="J197" s="60"/>
    </row>
    <row r="198" spans="6:10" x14ac:dyDescent="0.25">
      <c r="F198" s="60"/>
      <c r="G198" s="60"/>
      <c r="H198" s="60"/>
      <c r="I198" s="60"/>
      <c r="J198" s="60"/>
    </row>
    <row r="199" spans="6:10" x14ac:dyDescent="0.25">
      <c r="F199" s="60"/>
      <c r="G199" s="60"/>
      <c r="H199" s="60"/>
      <c r="I199" s="60"/>
      <c r="J199" s="60"/>
    </row>
    <row r="200" spans="6:10" x14ac:dyDescent="0.25">
      <c r="F200" s="60"/>
      <c r="G200" s="60"/>
      <c r="H200" s="60"/>
      <c r="I200" s="60"/>
      <c r="J200" s="60"/>
    </row>
    <row r="201" spans="6:10" x14ac:dyDescent="0.25">
      <c r="F201" s="60"/>
      <c r="G201" s="60"/>
      <c r="H201" s="60"/>
      <c r="I201" s="60"/>
      <c r="J201" s="60"/>
    </row>
    <row r="202" spans="6:10" x14ac:dyDescent="0.25">
      <c r="F202" s="60"/>
      <c r="G202" s="60"/>
      <c r="H202" s="60"/>
      <c r="I202" s="60"/>
      <c r="J202" s="60"/>
    </row>
  </sheetData>
  <mergeCells count="16">
    <mergeCell ref="F1:I1"/>
    <mergeCell ref="F10:J10"/>
    <mergeCell ref="A9:B9"/>
    <mergeCell ref="C9:N9"/>
    <mergeCell ref="D2:D3"/>
    <mergeCell ref="E2:E3"/>
    <mergeCell ref="O9:S9"/>
    <mergeCell ref="G2:I2"/>
    <mergeCell ref="G4:I4"/>
    <mergeCell ref="G5:I5"/>
    <mergeCell ref="G6:I6"/>
    <mergeCell ref="G7:I7"/>
    <mergeCell ref="G8:I8"/>
    <mergeCell ref="G3:I3"/>
    <mergeCell ref="N2:N3"/>
    <mergeCell ref="M2:M3"/>
  </mergeCells>
  <conditionalFormatting sqref="M12">
    <cfRule type="expression" dxfId="161" priority="6">
      <formula>M12=$G$4</formula>
    </cfRule>
    <cfRule type="expression" dxfId="160" priority="7">
      <formula>M12=$G$5</formula>
    </cfRule>
    <cfRule type="expression" dxfId="159" priority="8">
      <formula>M12=$G$6</formula>
    </cfRule>
    <cfRule type="expression" dxfId="158" priority="9">
      <formula>M12=$G$7</formula>
    </cfRule>
    <cfRule type="expression" dxfId="157" priority="10">
      <formula>M12=$G$8</formula>
    </cfRule>
  </conditionalFormatting>
  <conditionalFormatting sqref="M13:M32">
    <cfRule type="expression" dxfId="156" priority="1">
      <formula>M13=$G$4</formula>
    </cfRule>
    <cfRule type="expression" dxfId="155" priority="2">
      <formula>M13=$G$5</formula>
    </cfRule>
    <cfRule type="expression" dxfId="154" priority="3">
      <formula>M13=$G$6</formula>
    </cfRule>
    <cfRule type="expression" dxfId="153" priority="4">
      <formula>M13=$G$7</formula>
    </cfRule>
    <cfRule type="expression" dxfId="152" priority="5">
      <formula>M13=$G$8</formula>
    </cfRule>
  </conditionalFormatting>
  <dataValidations count="1">
    <dataValidation type="list" allowBlank="1" showInputMessage="1" showErrorMessage="1" sqref="F12:I32">
      <formula1>$F$3:$F$8</formula1>
    </dataValidation>
  </dataValidations>
  <pageMargins left="0.7" right="0.7" top="0.75" bottom="0.75" header="0.3" footer="0.3"/>
  <pageSetup scale="24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3" id="{39E3E751-788F-4AEA-AF6E-97F38E6F7A5D}">
            <xm:f>R12=DATOS!$P$24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64" id="{5036ACF6-D0E4-47C6-A737-957EFA80E753}">
            <xm:f>R12=DATOS!$P$19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65" id="{D768BADA-38E2-432E-98B3-EC743675A288}">
            <xm:f>R12=DATOS!$P$10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66" id="{6886530D-6ED9-40B8-933D-D05E11E7A817}">
            <xm:f>R12=DATOS!$P$2</xm:f>
            <x14:dxf>
              <fill>
                <patternFill>
                  <bgColor rgb="FF00B050"/>
                </patternFill>
              </fill>
            </x14:dxf>
          </x14:cfRule>
          <xm:sqref>R12</xm:sqref>
        </x14:conditionalFormatting>
        <x14:conditionalFormatting xmlns:xm="http://schemas.microsoft.com/office/excel/2006/main">
          <x14:cfRule type="expression" priority="59" id="{0C73DABD-3ABB-4D5F-89AB-9B5DA7274AC1}">
            <xm:f>R13=DATOS!$P$24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60" id="{8D34D05A-A897-4D61-8B9B-E581BC9BC705}">
            <xm:f>R13=DATOS!$P$19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61" id="{BFA7BEAB-5C1D-4223-983D-544DD55757CA}">
            <xm:f>R13=DATOS!$P$10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62" id="{68693F9C-5EC1-4433-84C3-B931C215389A}">
            <xm:f>R13=DATOS!$P$2</xm:f>
            <x14:dxf>
              <fill>
                <patternFill>
                  <bgColor rgb="FF00B050"/>
                </patternFill>
              </fill>
            </x14:dxf>
          </x14:cfRule>
          <xm:sqref>R13</xm:sqref>
        </x14:conditionalFormatting>
        <x14:conditionalFormatting xmlns:xm="http://schemas.microsoft.com/office/excel/2006/main">
          <x14:cfRule type="expression" priority="55" id="{774D5962-D556-43C5-A4ED-7C91378A466F}">
            <xm:f>R14=DATOS!$P$24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9FD20780-9531-47BD-BA2B-E2D2548DE080}">
            <xm:f>R14=DATOS!$P$19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57" id="{56D603CE-3705-4027-AE1E-DC8B2021E2B7}">
            <xm:f>R14=DATOS!$P$10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58" id="{2CDCAC6B-DC09-4967-8FE0-641B417EAC8A}">
            <xm:f>R14=DATOS!$P$2</xm:f>
            <x14:dxf>
              <fill>
                <patternFill>
                  <bgColor rgb="FF00B050"/>
                </patternFill>
              </fill>
            </x14:dxf>
          </x14:cfRule>
          <xm:sqref>R14</xm:sqref>
        </x14:conditionalFormatting>
        <x14:conditionalFormatting xmlns:xm="http://schemas.microsoft.com/office/excel/2006/main">
          <x14:cfRule type="expression" priority="51" id="{6AEDCFD7-4F49-4F03-966E-09F1F4E30009}">
            <xm:f>R15=DATOS!$P$24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52" id="{DAC143EC-AD71-4304-B8E7-3D1FBE866597}">
            <xm:f>R15=DATOS!$P$19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53" id="{D764B821-8A48-476B-9415-5D8CDDF17F91}">
            <xm:f>R15=DATOS!$P$10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54" id="{4AAD8534-DE66-407F-AF5F-C0A64EFF4D95}">
            <xm:f>R15=DATOS!$P$2</xm:f>
            <x14:dxf>
              <fill>
                <patternFill>
                  <bgColor rgb="FF00B050"/>
                </patternFill>
              </fill>
            </x14:dxf>
          </x14:cfRule>
          <xm:sqref>R15</xm:sqref>
        </x14:conditionalFormatting>
        <x14:conditionalFormatting xmlns:xm="http://schemas.microsoft.com/office/excel/2006/main">
          <x14:cfRule type="expression" priority="47" id="{4C13978F-7895-4BDE-8A27-9BE72D2B1DF5}">
            <xm:f>R16=DATOS!$P$24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F2AF10C2-77DD-45F5-85CB-E364F82522F8}">
            <xm:f>R16=DATOS!$P$19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49" id="{3055812D-4429-403B-80C1-49DCA871A2BC}">
            <xm:f>R16=DATOS!$P$10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50" id="{B25AF4ED-2366-4C3A-B673-1EE556A8CB6F}">
            <xm:f>R16=DATOS!$P$2</xm:f>
            <x14:dxf>
              <fill>
                <patternFill>
                  <bgColor rgb="FF00B050"/>
                </patternFill>
              </fill>
            </x14:dxf>
          </x14:cfRule>
          <xm:sqref>R16</xm:sqref>
        </x14:conditionalFormatting>
        <x14:conditionalFormatting xmlns:xm="http://schemas.microsoft.com/office/excel/2006/main">
          <x14:cfRule type="expression" priority="43" id="{73A6B685-CB18-453D-BE9D-2B79AED4D739}">
            <xm:f>R17=DATOS!$P$24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44" id="{1176CC07-4249-44EE-93AF-B6C4C975CB73}">
            <xm:f>R17=DATOS!$P$19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D5928396-D9E3-4286-976E-5164BB397060}">
            <xm:f>R17=DATOS!$P$10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46" id="{7D5F8FE9-1C73-44AD-8D98-F755781575F4}">
            <xm:f>R17=DATOS!$P$2</xm:f>
            <x14:dxf>
              <fill>
                <patternFill>
                  <bgColor rgb="FF00B050"/>
                </patternFill>
              </fill>
            </x14:dxf>
          </x14:cfRule>
          <xm:sqref>R17</xm:sqref>
        </x14:conditionalFormatting>
        <x14:conditionalFormatting xmlns:xm="http://schemas.microsoft.com/office/excel/2006/main">
          <x14:cfRule type="expression" priority="39" id="{7D4F2674-1CBB-4BFE-8EC0-46CA5886B0AA}">
            <xm:f>R18=DATOS!$P$24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40" id="{0F7B9820-5EDE-4D0C-B039-F3410F92BB3B}">
            <xm:f>R18=DATOS!$P$19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41" id="{AF3CAD70-F3D7-4884-872A-05C0B71C9B15}">
            <xm:f>R18=DATOS!$P$10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42" id="{68357E04-7D8F-4408-985A-FB9A6027B496}">
            <xm:f>R18=DATOS!$P$2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expression" priority="35" id="{D826DF02-CF69-4F9C-A4F3-B35EB0D7F1A3}">
            <xm:f>R19=DATOS!$P$24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A36F2852-E452-4C94-990A-7873B0BAA419}">
            <xm:f>R19=DATOS!$P$19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8743257C-DC72-408E-9D09-DC5C6195E974}">
            <xm:f>R19=DATOS!$P$10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EBE5C4A0-9FF4-4670-A880-92CF05016CB0}">
            <xm:f>R19=DATOS!$P$2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expression" priority="31" id="{E9BA17F6-E65D-4B5B-B649-6BA9459A5541}">
            <xm:f>R20=DATOS!$P$24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32" id="{07E1616A-97CD-47D0-9F37-EA82007600CE}">
            <xm:f>R20=DATOS!$P$19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CF2F7A03-3435-485F-ACB4-A0F3AAFDB041}">
            <xm:f>R20=DATOS!$P$10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34" id="{BBB0CB80-6EE5-4511-B729-EFF18F6CEAEF}">
            <xm:f>R20=DATOS!$P$2</xm:f>
            <x14:dxf>
              <fill>
                <patternFill>
                  <bgColor rgb="FF00B050"/>
                </patternFill>
              </fill>
            </x14:dxf>
          </x14:cfRule>
          <xm:sqref>R20</xm:sqref>
        </x14:conditionalFormatting>
        <x14:conditionalFormatting xmlns:xm="http://schemas.microsoft.com/office/excel/2006/main">
          <x14:cfRule type="expression" priority="27" id="{E4C8440D-F8EE-4A34-B8E8-DFF225E074F5}">
            <xm:f>R21=DATOS!$P$24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28" id="{99922737-3D44-42AC-A73E-083A97F564A5}">
            <xm:f>R21=DATOS!$P$19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29" id="{2CDAEF20-8684-4A7A-9A4A-16FAF700BFF5}">
            <xm:f>R21=DATOS!$P$10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30" id="{67A9ED31-2E4F-496D-B3E9-A9D446FCEB57}">
            <xm:f>R21=DATOS!$P$2</xm:f>
            <x14:dxf>
              <fill>
                <patternFill>
                  <bgColor rgb="FF00B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expression" priority="23" id="{AA0B91E0-32F4-4B5F-A912-B5483FF4908E}">
            <xm:f>R22=DATOS!$P$24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24" id="{6F65BDE2-FA40-4044-9E7A-05CD2AAA2226}">
            <xm:f>R22=DATOS!$P$19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4314065B-EF66-4519-9510-BE23261E24AF}">
            <xm:f>R22=DATOS!$P$10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14F039B4-86DF-4343-9657-A5695FC6D32C}">
            <xm:f>R22=DATOS!$P$2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expression" priority="19" id="{5D708FEB-A1E7-46FB-9EA7-0E11FDE4E7DF}">
            <xm:f>R23=DATOS!$P$24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8B8128F4-A1AB-4896-855C-7D2EF5A26DE4}">
            <xm:f>R23=DATOS!$P$19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02E1B5A0-8D2F-479D-A22C-9BF92668521D}">
            <xm:f>R23=DATOS!$P$10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22" id="{523A6581-43D9-486E-867B-3C275D0D28CD}">
            <xm:f>R23=DATOS!$P$2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expression" priority="11" id="{4FF298D9-8D90-40A9-A6FE-658F1B6A5A4E}">
            <xm:f>R24=DATOS!$P$24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D4FCBDA8-C08A-43FA-B829-C0FF1E8EA53E}">
            <xm:f>R24=DATOS!$P$19</xm:f>
            <x14:dxf>
              <fill>
                <patternFill>
                  <bgColor rgb="FFFFC000"/>
                </patternFill>
              </fill>
            </x14:dxf>
          </x14:cfRule>
          <x14:cfRule type="expression" priority="13" id="{D8542CA8-FCFB-4B20-AD27-B13F3967EC6C}">
            <xm:f>R24=DATOS!$P$10</xm:f>
            <x14:dxf>
              <fill>
                <patternFill>
                  <bgColor rgb="FFFFFF00"/>
                </patternFill>
              </fill>
            </x14:dxf>
          </x14:cfRule>
          <x14:cfRule type="expression" priority="14" id="{ECD93E0D-EA79-40B6-893E-95C2C9E09C67}">
            <xm:f>R24=DATOS!$P$2</xm:f>
            <x14:dxf>
              <fill>
                <patternFill>
                  <bgColor rgb="FF00B050"/>
                </patternFill>
              </fill>
            </x14:dxf>
          </x14:cfRule>
          <xm:sqref>R24:R32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DATOS!$A$2:$A$6</xm:f>
          </x14:formula1>
          <xm:sqref>E12:E32</xm:sqref>
        </x14:dataValidation>
        <x14:dataValidation type="list" allowBlank="1" showInputMessage="1" showErrorMessage="1">
          <x14:formula1>
            <xm:f>DATOS!$D$2:$D$6</xm:f>
          </x14:formula1>
          <xm:sqref>N12:N32</xm:sqref>
        </x14:dataValidation>
        <x14:dataValidation type="list" allowBlank="1" showInputMessage="1" showErrorMessage="1">
          <x14:formula1>
            <xm:f>DATOS!$H$2:$H$5</xm:f>
          </x14:formula1>
          <xm:sqref>C12:C32</xm:sqref>
        </x14:dataValidation>
        <x14:dataValidation type="list" allowBlank="1" showInputMessage="1" showErrorMessage="1">
          <x14:formula1>
            <xm:f>DATOS!$AK$1</xm:f>
          </x14:formula1>
          <xm:sqref>F34:J202</xm:sqref>
        </x14:dataValidation>
        <x14:dataValidation type="list" allowBlank="1" showInputMessage="1" showErrorMessage="1">
          <x14:formula1>
            <xm:f>DATOS!$AS$2:$AS$17</xm:f>
          </x14:formula1>
          <xm:sqref>D12:D32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35.42578125" style="19" customWidth="1"/>
    <col min="2" max="2" width="14.140625" style="19" bestFit="1" customWidth="1"/>
    <col min="3" max="3" width="26.5703125" style="19" customWidth="1"/>
    <col min="4" max="4" width="11.42578125" style="19"/>
    <col min="5" max="5" width="18" style="19" bestFit="1" customWidth="1"/>
    <col min="6" max="6" width="11.85546875" style="19" bestFit="1" customWidth="1"/>
    <col min="7" max="8" width="11.42578125" style="19" customWidth="1"/>
    <col min="9" max="16384" width="11.42578125" style="19"/>
  </cols>
  <sheetData>
    <row r="1" spans="1:5" x14ac:dyDescent="0.25">
      <c r="A1" s="226" t="str">
        <f>'RIESGO INHERENTE'!$C$11</f>
        <v>FACTOR DE RIESGO</v>
      </c>
      <c r="B1" s="226" t="str">
        <f>+'RIESGO INHERENTE'!E11</f>
        <v>PROBABILIDAD</v>
      </c>
      <c r="C1" s="226" t="s">
        <v>237</v>
      </c>
      <c r="D1" s="226" t="s">
        <v>43</v>
      </c>
      <c r="E1" s="226" t="s">
        <v>46</v>
      </c>
    </row>
    <row r="2" spans="1:5" ht="45" x14ac:dyDescent="0.25">
      <c r="A2" s="34" t="str">
        <f>DATOS!$H2</f>
        <v>Contrapartes (Clientes, Proveedores, Empleados, Accionistas, Vinculados) y Partes interesadas.</v>
      </c>
      <c r="B2" s="58">
        <f>+AVERAGEIF('RIESGO INHERENTE'!C:C,VLOOKUP(A2,'RIESGO INHERENTE'!C:C,1,0),'RIESGO INHERENTE'!O:O)</f>
        <v>4.5</v>
      </c>
      <c r="C2" s="58">
        <f>+IF(ISERROR(AVERAGEIF('RIESGO INHERENTE'!C:C,VLOOKUP(A2,DATOS!H:H,1,0),'RIESGO INHERENTE'!J:J)),"",AVERAGEIF('RIESGO INHERENTE'!C:C,VLOOKUP(A2,DATOS!H:H,1,0),'RIESGO INHERENTE'!J:J))</f>
        <v>2.9513888888888888</v>
      </c>
      <c r="D2" s="61">
        <f>+IFERROR(ROUND(B2*C2,0),"")</f>
        <v>13</v>
      </c>
      <c r="E2" s="107" t="str">
        <f>+IF(ISERROR(VLOOKUP(D2,DATOS!V:W,2,0)),"",VLOOKUP(D2,DATOS!V:W,2,0))</f>
        <v>MEDIO</v>
      </c>
    </row>
    <row r="3" spans="1:5" x14ac:dyDescent="0.25">
      <c r="A3" s="23" t="str">
        <f>DATOS!$H3</f>
        <v>Producto</v>
      </c>
      <c r="B3" s="58">
        <f>+AVERAGEIF('RIESGO INHERENTE'!C:C,VLOOKUP(A3,'RIESGO INHERENTE'!C:C,1,0),'RIESGO INHERENTE'!O:O)</f>
        <v>4.666666666666667</v>
      </c>
      <c r="C3" s="58">
        <f>+IF(ISERROR(AVERAGEIF('RIESGO INHERENTE'!C:C,VLOOKUP(A3,DATOS!H:H,1,0),'RIESGO INHERENTE'!J:J)),"",AVERAGEIF('RIESGO INHERENTE'!C:C,VLOOKUP(A3,DATOS!H:H,1,0),'RIESGO INHERENTE'!J:J))</f>
        <v>2.75</v>
      </c>
      <c r="D3" s="61">
        <f>+IFERROR(ROUND(B3*C3,0),"")</f>
        <v>13</v>
      </c>
      <c r="E3" s="107" t="str">
        <f>+IF(ISERROR(VLOOKUP(D3,DATOS!V:W,2,0)),"",VLOOKUP(D3,DATOS!V:W,2,0))</f>
        <v>MEDIO</v>
      </c>
    </row>
    <row r="4" spans="1:5" x14ac:dyDescent="0.25">
      <c r="A4" s="23" t="str">
        <f>DATOS!$H4</f>
        <v>Canal de Distribución</v>
      </c>
      <c r="B4" s="58">
        <f>+AVERAGEIF('RIESGO INHERENTE'!C:C,VLOOKUP(A4,'RIESGO INHERENTE'!C:C,1,0),'RIESGO INHERENTE'!O:O)</f>
        <v>5</v>
      </c>
      <c r="C4" s="58">
        <f>+IF(ISERROR(AVERAGEIF('RIESGO INHERENTE'!C:C,VLOOKUP(A4,DATOS!H:H,1,0),'RIESGO INHERENTE'!J:J)),"",AVERAGEIF('RIESGO INHERENTE'!C:C,VLOOKUP(A4,DATOS!H:H,1,0),'RIESGO INHERENTE'!J:J))</f>
        <v>3.75</v>
      </c>
      <c r="D4" s="61">
        <f>+IFERROR(ROUND(B4*C4,0),"")</f>
        <v>19</v>
      </c>
      <c r="E4" s="107" t="str">
        <f>+IF(ISERROR(VLOOKUP(D4,DATOS!V:W,2,0)),"",VLOOKUP(D4,DATOS!V:W,2,0))</f>
        <v>ALTO</v>
      </c>
    </row>
    <row r="5" spans="1:5" x14ac:dyDescent="0.25">
      <c r="A5" s="23" t="str">
        <f>DATOS!$H5</f>
        <v>Jurisdicción</v>
      </c>
      <c r="B5" s="58">
        <f>+AVERAGEIF('RIESGO INHERENTE'!C:C,VLOOKUP(A5,'RIESGO INHERENTE'!C:C,1,0),'RIESGO INHERENTE'!O:O)</f>
        <v>5</v>
      </c>
      <c r="C5" s="58">
        <f>+IF(ISERROR(AVERAGEIF('RIESGO INHERENTE'!C:C,VLOOKUP(A5,DATOS!H:H,1,0),'RIESGO INHERENTE'!J:J)),"",AVERAGEIF('RIESGO INHERENTE'!C:C,VLOOKUP(A5,DATOS!H:H,1,0),'RIESGO INHERENTE'!J:J))</f>
        <v>3.125</v>
      </c>
      <c r="D5" s="61">
        <f>+IFERROR(ROUND(B5*C5,0),"")</f>
        <v>16</v>
      </c>
      <c r="E5" s="107" t="str">
        <f>+IF(ISERROR(VLOOKUP(D5,DATOS!V:W,2,0)),"",VLOOKUP(D5,DATOS!V:W,2,0))</f>
        <v>ALTO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854C98-16D1-43F6-A75E-358118736FD8}">
            <xm:f>E2=DATOS!$W$24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D63F75CB-FC2D-477C-8C57-9296ED9CBF3E}">
            <xm:f>E2=DATOS!$W$17</xm:f>
            <x14:dxf>
              <fill>
                <patternFill>
                  <bgColor rgb="FFFFC000"/>
                </patternFill>
              </fill>
            </x14:dxf>
          </x14:cfRule>
          <x14:cfRule type="expression" priority="3" id="{80B07576-70CB-4618-8F53-222AAC4668E0}">
            <xm:f>E2=DATOS!$W$11</xm:f>
            <x14:dxf>
              <fill>
                <patternFill>
                  <bgColor rgb="FFFFFF00"/>
                </patternFill>
              </fill>
            </x14:dxf>
          </x14:cfRule>
          <x14:cfRule type="expression" priority="4" id="{9313BB6D-C95A-4878-AFD6-6F814740CA3A}">
            <xm:f>E2=DATOS!$W$2</xm:f>
            <x14:dxf>
              <fill>
                <patternFill>
                  <bgColor rgb="FF00B050"/>
                </patternFill>
              </fill>
            </x14:dxf>
          </x14:cfRule>
          <xm:sqref>E2:E5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5"/>
  <sheetViews>
    <sheetView workbookViewId="0">
      <selection sqref="A1:E1"/>
    </sheetView>
  </sheetViews>
  <sheetFormatPr baseColWidth="10" defaultColWidth="11.42578125" defaultRowHeight="15" x14ac:dyDescent="0.25"/>
  <cols>
    <col min="1" max="1" width="35.42578125" style="19" customWidth="1"/>
    <col min="2" max="2" width="14.140625" style="19" bestFit="1" customWidth="1"/>
    <col min="3" max="3" width="26.5703125" style="19" customWidth="1"/>
    <col min="4" max="4" width="11.42578125" style="19"/>
    <col min="5" max="5" width="18" style="19" bestFit="1" customWidth="1"/>
    <col min="6" max="6" width="11.85546875" style="19" bestFit="1" customWidth="1"/>
    <col min="7" max="8" width="11.42578125" style="19" customWidth="1"/>
    <col min="9" max="16384" width="11.42578125" style="19"/>
  </cols>
  <sheetData>
    <row r="1" spans="1:5" x14ac:dyDescent="0.25">
      <c r="A1" s="226" t="str">
        <f>'RIESGO INHERENTE'!$C$11</f>
        <v>FACTOR DE RIESGO</v>
      </c>
      <c r="B1" s="226" t="str">
        <f>+'RIESGO INHERENTE'!E11</f>
        <v>PROBABILIDAD</v>
      </c>
      <c r="C1" s="226" t="str">
        <f>'RIESGO INHERENTE'!N11</f>
        <v>CONSECUENCIA</v>
      </c>
      <c r="D1" s="226" t="s">
        <v>43</v>
      </c>
      <c r="E1" s="226" t="s">
        <v>46</v>
      </c>
    </row>
    <row r="2" spans="1:5" ht="45" x14ac:dyDescent="0.25">
      <c r="A2" s="34" t="str">
        <f>DATOS!$H2</f>
        <v>Contrapartes (Clientes, Proveedores, Empleados, Accionistas, Vinculados) y Partes interesadas.</v>
      </c>
      <c r="B2" s="58">
        <f>+AVERAGEIF('RIESGO INHERENTE'!C:C,VLOOKUP(A2,'RIESGO INHERENTE'!C:C,1,0),'RIESGO INHERENTE'!O:O)</f>
        <v>4.5</v>
      </c>
      <c r="C2" s="58">
        <f>+IF(ISERROR(AVERAGEIF('RIESGO INHERENTE'!C:C,VLOOKUP(A2,DATOS!H:H,1,0),'RIESGO INHERENTE'!P:P)),"",AVERAGEIF('RIESGO INHERENTE'!C:C,VLOOKUP(A2,DATOS!H:H,1,0),'RIESGO INHERENTE'!P:P))</f>
        <v>4.166666666666667</v>
      </c>
      <c r="D2" s="61">
        <f>+IFERROR(ROUND(B2*C2,0),"")</f>
        <v>19</v>
      </c>
      <c r="E2" s="107" t="str">
        <f>+IF(ISERROR(VLOOKUP(D2,DATOS!V:W,2,0)),"",VLOOKUP(D2,DATOS!V:W,2,0))</f>
        <v>ALTO</v>
      </c>
    </row>
    <row r="3" spans="1:5" x14ac:dyDescent="0.25">
      <c r="A3" s="23" t="str">
        <f>DATOS!$H3</f>
        <v>Producto</v>
      </c>
      <c r="B3" s="58">
        <f>+AVERAGEIF('RIESGO INHERENTE'!C:C,VLOOKUP(A3,'RIESGO INHERENTE'!C:C,1,0),'RIESGO INHERENTE'!O:O)</f>
        <v>4.666666666666667</v>
      </c>
      <c r="C3" s="58">
        <f>+IF(ISERROR(AVERAGEIF('RIESGO INHERENTE'!C:C,VLOOKUP(A3,DATOS!H:H,1,0),'RIESGO INHERENTE'!P:P)),"",AVERAGEIF('RIESGO INHERENTE'!C:C,VLOOKUP(A3,DATOS!H:H,1,0),'RIESGO INHERENTE'!P:P))</f>
        <v>4.333333333333333</v>
      </c>
      <c r="D3" s="61">
        <f>+IFERROR(ROUND(B3*C3,0),"")</f>
        <v>20</v>
      </c>
      <c r="E3" s="107" t="str">
        <f>+IF(ISERROR(VLOOKUP(D3,DATOS!V:W,2,0)),"",VLOOKUP(D3,DATOS!V:W,2,0))</f>
        <v>EXTREMO</v>
      </c>
    </row>
    <row r="4" spans="1:5" x14ac:dyDescent="0.25">
      <c r="A4" s="23" t="str">
        <f>DATOS!$H4</f>
        <v>Canal de Distribución</v>
      </c>
      <c r="B4" s="58">
        <f>+AVERAGEIF('RIESGO INHERENTE'!C:C,VLOOKUP(A4,'RIESGO INHERENTE'!C:C,1,0),'RIESGO INHERENTE'!O:O)</f>
        <v>5</v>
      </c>
      <c r="C4" s="58">
        <f>+IF(ISERROR(AVERAGEIF('RIESGO INHERENTE'!C:C,VLOOKUP(A4,DATOS!H:H,1,0),'RIESGO INHERENTE'!P:P)),"",AVERAGEIF('RIESGO INHERENTE'!C:C,VLOOKUP(A4,DATOS!H:H,1,0),'RIESGO INHERENTE'!P:P))</f>
        <v>5</v>
      </c>
      <c r="D4" s="61">
        <f>+IFERROR(ROUND(B4*C4,0),"")</f>
        <v>25</v>
      </c>
      <c r="E4" s="107" t="str">
        <f>+IF(ISERROR(VLOOKUP(D4,DATOS!V:W,2,0)),"",VLOOKUP(D4,DATOS!V:W,2,0))</f>
        <v>EXTREMO</v>
      </c>
    </row>
    <row r="5" spans="1:5" x14ac:dyDescent="0.25">
      <c r="A5" s="23" t="str">
        <f>DATOS!$H5</f>
        <v>Jurisdicción</v>
      </c>
      <c r="B5" s="58">
        <f>+AVERAGEIF('RIESGO INHERENTE'!C:C,VLOOKUP(A5,'RIESGO INHERENTE'!C:C,1,0),'RIESGO INHERENTE'!O:O)</f>
        <v>5</v>
      </c>
      <c r="C5" s="58">
        <f>+IF(ISERROR(AVERAGEIF('RIESGO INHERENTE'!C:C,VLOOKUP(A5,DATOS!H:H,1,0),'RIESGO INHERENTE'!P:P)),"",AVERAGEIF('RIESGO INHERENTE'!C:C,VLOOKUP(A5,DATOS!H:H,1,0),'RIESGO INHERENTE'!P:P))</f>
        <v>4.5</v>
      </c>
      <c r="D5" s="61">
        <f>+IFERROR(ROUND(B5*C5,0),"")</f>
        <v>23</v>
      </c>
      <c r="E5" s="107" t="str">
        <f>+IF(ISERROR(VLOOKUP(D5,DATOS!V:W,2,0)),"",VLOOKUP(D5,DATOS!V:W,2,0))</f>
        <v>EXTREMO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9" id="{E1DC1A49-E545-4C4D-87E3-F84A0B3FE251}">
            <xm:f>E2=DATOS!$W$24</xm:f>
            <x14:dxf>
              <fill>
                <patternFill>
                  <bgColor rgb="FFFF0000"/>
                </patternFill>
              </fill>
            </x14:dxf>
          </x14:cfRule>
          <x14:cfRule type="expression" priority="250" id="{CC219E4A-D8A9-4AFE-A69D-9971420FC3D8}">
            <xm:f>E2=DATOS!$W$17</xm:f>
            <x14:dxf>
              <fill>
                <patternFill>
                  <bgColor rgb="FFFFC000"/>
                </patternFill>
              </fill>
            </x14:dxf>
          </x14:cfRule>
          <x14:cfRule type="expression" priority="251" id="{5BD5FE45-8DAF-44F3-BC15-3EB8809AB320}">
            <xm:f>E2=DATOS!#REF!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252" id="{73B4C9EB-D6C8-4A41-9703-B8D09A199D06}">
            <xm:f>E2=DATOS!$W$2</xm:f>
            <x14:dxf>
              <fill>
                <patternFill>
                  <bgColor rgb="FF00B050"/>
                </patternFill>
              </fill>
            </x14:dxf>
          </x14:cfRule>
          <xm:sqref>E2:E5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6" sqref="A6"/>
    </sheetView>
  </sheetViews>
  <sheetFormatPr baseColWidth="10" defaultRowHeight="15" x14ac:dyDescent="0.25"/>
  <cols>
    <col min="1" max="1" width="13.42578125" style="19" bestFit="1" customWidth="1"/>
    <col min="2" max="2" width="14.140625" style="19" bestFit="1" customWidth="1"/>
    <col min="3" max="3" width="14.85546875" style="19" bestFit="1" customWidth="1"/>
    <col min="4" max="4" width="11.42578125" style="19"/>
    <col min="5" max="5" width="18" style="19" bestFit="1" customWidth="1"/>
    <col min="6" max="16384" width="11.42578125" style="19"/>
  </cols>
  <sheetData>
    <row r="1" spans="1:5" x14ac:dyDescent="0.25">
      <c r="A1" s="239" t="str">
        <f>+'RIESGO INHERENTE'!D11</f>
        <v>PROCESOS</v>
      </c>
      <c r="B1" s="239" t="str">
        <f>'CONSOLIDADOXFACTOR RI'!B1</f>
        <v>PROBABILIDAD</v>
      </c>
      <c r="C1" s="239" t="str">
        <f>'CONSOLIDADOXFACTOR RI'!C1</f>
        <v>CONSECUENCIA</v>
      </c>
      <c r="D1" s="240" t="s">
        <v>43</v>
      </c>
      <c r="E1" s="240" t="s">
        <v>46</v>
      </c>
    </row>
    <row r="2" spans="1:5" x14ac:dyDescent="0.25">
      <c r="A2" s="22" t="str">
        <f>+DATOS!AS2</f>
        <v>Financiero</v>
      </c>
      <c r="B2" s="58">
        <f>+IF(ISERROR(AVERAGEIF('RIESGO INHERENTE'!D:D,VLOOKUP(A2,DATOS!AS:AS,1,0),'RIESGO INHERENTE'!O:O)),"",AVERAGEIF('RIESGO INHERENTE'!D:D,VLOOKUP(A2,DATOS!AS:AS,1,0),'RIESGO INHERENTE'!O:O))</f>
        <v>4.75</v>
      </c>
      <c r="C2" s="58">
        <f>+IF(ISERROR(AVERAGEIF('RIESGO INHERENTE'!D:D,VLOOKUP(A2,DATOS!AS:AS,1,0),'RIESGO INHERENTE'!P:P)),"",AVERAGEIF('RIESGO INHERENTE'!D:D,VLOOKUP(A2,DATOS!AS:AS,1,0),'RIESGO INHERENTE'!P:P))</f>
        <v>4.75</v>
      </c>
      <c r="D2" s="22">
        <f>+IF(ISERROR(ROUNDDOWN(B2*C2,0)),"",ROUNDDOWN(B2*C2,0))</f>
        <v>22</v>
      </c>
      <c r="E2" s="107" t="str">
        <f>+IF(ISERROR(VLOOKUP(D2,DATOS!V:W,2,0)),"",VLOOKUP(D2,DATOS!V:W,2,0))</f>
        <v>EXTREMO</v>
      </c>
    </row>
    <row r="3" spans="1:5" x14ac:dyDescent="0.25">
      <c r="A3" s="22" t="str">
        <f>+DATOS!AS3</f>
        <v>Gestión Humana</v>
      </c>
      <c r="B3" s="58" t="str">
        <f>+IF(ISERROR(AVERAGEIF('RIESGO INHERENTE'!D:D,VLOOKUP(A3,DATOS!AS:AS,1,0),'RIESGO INHERENTE'!O:O)),"",AVERAGEIF('RIESGO INHERENTE'!D:D,VLOOKUP(A3,DATOS!AS:AS,1,0),'RIESGO INHERENTE'!O:O))</f>
        <v/>
      </c>
      <c r="C3" s="58" t="str">
        <f>+IF(ISERROR(AVERAGEIF('RIESGO INHERENTE'!D:D,VLOOKUP(A3,DATOS!AS:AS,1,0),'RIESGO INHERENTE'!P:P)),"",AVERAGEIF('RIESGO INHERENTE'!D:D,VLOOKUP(A3,DATOS!AS:AS,1,0),'RIESGO INHERENTE'!P:P))</f>
        <v/>
      </c>
      <c r="D3" s="22" t="str">
        <f t="shared" ref="D3:D17" si="0">+IF(ISERROR(ROUNDDOWN(B3*C3,0)),"",ROUNDDOWN(B3*C3,0))</f>
        <v/>
      </c>
      <c r="E3" s="107" t="str">
        <f>+IF(ISERROR(VLOOKUP(D3,DATOS!V:W,2,0)),"",VLOOKUP(D3,DATOS!V:W,2,0))</f>
        <v/>
      </c>
    </row>
    <row r="4" spans="1:5" x14ac:dyDescent="0.25">
      <c r="A4" s="22" t="str">
        <f>+DATOS!AS4</f>
        <v>Comercial</v>
      </c>
      <c r="B4" s="58">
        <f>+IF(ISERROR(AVERAGEIF('RIESGO INHERENTE'!D:D,VLOOKUP(A4,DATOS!AS:AS,1,0),'RIESGO INHERENTE'!O:O)),"",AVERAGEIF('RIESGO INHERENTE'!D:D,VLOOKUP(A4,DATOS!AS:AS,1,0),'RIESGO INHERENTE'!O:O))</f>
        <v>4.8</v>
      </c>
      <c r="C4" s="58">
        <f>+IF(ISERROR(AVERAGEIF('RIESGO INHERENTE'!D:D,VLOOKUP(A4,DATOS!AS:AS,1,0),'RIESGO INHERENTE'!P:P)),"",AVERAGEIF('RIESGO INHERENTE'!D:D,VLOOKUP(A4,DATOS!AS:AS,1,0),'RIESGO INHERENTE'!P:P))</f>
        <v>4</v>
      </c>
      <c r="D4" s="22">
        <f t="shared" si="0"/>
        <v>19</v>
      </c>
      <c r="E4" s="107" t="str">
        <f>+IF(ISERROR(VLOOKUP(D4,DATOS!V:W,2,0)),"",VLOOKUP(D4,DATOS!V:W,2,0))</f>
        <v>ALTO</v>
      </c>
    </row>
    <row r="5" spans="1:5" x14ac:dyDescent="0.25">
      <c r="A5" s="22" t="str">
        <f>+DATOS!AS5</f>
        <v>Jurídica</v>
      </c>
      <c r="B5" s="58">
        <f>+IF(ISERROR(AVERAGEIF('RIESGO INHERENTE'!D:D,VLOOKUP(A5,DATOS!AS:AS,1,0),'RIESGO INHERENTE'!O:O)),"",AVERAGEIF('RIESGO INHERENTE'!D:D,VLOOKUP(A5,DATOS!AS:AS,1,0),'RIESGO INHERENTE'!O:O))</f>
        <v>5</v>
      </c>
      <c r="C5" s="58">
        <f>+IF(ISERROR(AVERAGEIF('RIESGO INHERENTE'!D:D,VLOOKUP(A5,DATOS!AS:AS,1,0),'RIESGO INHERENTE'!P:P)),"",AVERAGEIF('RIESGO INHERENTE'!D:D,VLOOKUP(A5,DATOS!AS:AS,1,0),'RIESGO INHERENTE'!P:P))</f>
        <v>5</v>
      </c>
      <c r="D5" s="22">
        <f t="shared" si="0"/>
        <v>25</v>
      </c>
      <c r="E5" s="107" t="str">
        <f>+IF(ISERROR(VLOOKUP(D5,DATOS!V:W,2,0)),"",VLOOKUP(D5,DATOS!V:W,2,0))</f>
        <v>EXTREMO</v>
      </c>
    </row>
    <row r="6" spans="1:5" x14ac:dyDescent="0.25">
      <c r="A6" s="22" t="str">
        <f>+DATOS!AS6</f>
        <v>Nuevos desarrollos</v>
      </c>
      <c r="B6" s="58">
        <f>+IF(ISERROR(AVERAGEIF('RIESGO INHERENTE'!D:D,VLOOKUP(A6,DATOS!AS:AS,1,0),'RIESGO INHERENTE'!O:O)),"",AVERAGEIF('RIESGO INHERENTE'!D:D,VLOOKUP(A6,DATOS!AS:AS,1,0),'RIESGO INHERENTE'!O:O))</f>
        <v>4</v>
      </c>
      <c r="C6" s="58">
        <f>+IF(ISERROR(AVERAGEIF('RIESGO INHERENTE'!D:D,VLOOKUP(A6,DATOS!AS:AS,1,0),'RIESGO INHERENTE'!P:P)),"",AVERAGEIF('RIESGO INHERENTE'!D:D,VLOOKUP(A6,DATOS!AS:AS,1,0),'RIESGO INHERENTE'!P:P))</f>
        <v>4</v>
      </c>
      <c r="D6" s="22">
        <f t="shared" si="0"/>
        <v>16</v>
      </c>
      <c r="E6" s="107" t="str">
        <f>+IF(ISERROR(VLOOKUP(D6,DATOS!V:W,2,0)),"",VLOOKUP(D6,DATOS!V:W,2,0))</f>
        <v>ALTO</v>
      </c>
    </row>
    <row r="7" spans="1:5" x14ac:dyDescent="0.25">
      <c r="A7" s="22" t="str">
        <f>+DATOS!AS7</f>
        <v>Operaciones</v>
      </c>
      <c r="B7" s="58">
        <f>+IF(ISERROR(AVERAGEIF('RIESGO INHERENTE'!D:D,VLOOKUP(A7,DATOS!AS:AS,1,0),'RIESGO INHERENTE'!O:O)),"",AVERAGEIF('RIESGO INHERENTE'!D:D,VLOOKUP(A7,DATOS!AS:AS,1,0),'RIESGO INHERENTE'!O:O))</f>
        <v>4.4285714285714288</v>
      </c>
      <c r="C7" s="58">
        <f>+IF(ISERROR(AVERAGEIF('RIESGO INHERENTE'!D:D,VLOOKUP(A7,DATOS!AS:AS,1,0),'RIESGO INHERENTE'!P:P)),"",AVERAGEIF('RIESGO INHERENTE'!D:D,VLOOKUP(A7,DATOS!AS:AS,1,0),'RIESGO INHERENTE'!P:P))</f>
        <v>4.1428571428571432</v>
      </c>
      <c r="D7" s="22">
        <f t="shared" si="0"/>
        <v>18</v>
      </c>
      <c r="E7" s="107" t="str">
        <f>+IF(ISERROR(VLOOKUP(D7,DATOS!V:W,2,0)),"",VLOOKUP(D7,DATOS!V:W,2,0))</f>
        <v>ALTO</v>
      </c>
    </row>
    <row r="8" spans="1:5" x14ac:dyDescent="0.25">
      <c r="A8" s="22" t="str">
        <f>+DATOS!AS8</f>
        <v>publicidad</v>
      </c>
      <c r="B8" s="58" t="str">
        <f>+IF(ISERROR(AVERAGEIF('RIESGO INHERENTE'!D:D,VLOOKUP(A8,DATOS!AS:AS,1,0),'RIESGO INHERENTE'!O:O)),"",AVERAGEIF('RIESGO INHERENTE'!D:D,VLOOKUP(A8,DATOS!AS:AS,1,0),'RIESGO INHERENTE'!O:O))</f>
        <v/>
      </c>
      <c r="C8" s="58" t="str">
        <f>+IF(ISERROR(AVERAGEIF('RIESGO INHERENTE'!D:D,VLOOKUP(A8,DATOS!AS:AS,1,0),'RIESGO INHERENTE'!P:P)),"",AVERAGEIF('RIESGO INHERENTE'!D:D,VLOOKUP(A8,DATOS!AS:AS,1,0),'RIESGO INHERENTE'!P:P))</f>
        <v/>
      </c>
      <c r="D8" s="22" t="str">
        <f t="shared" si="0"/>
        <v/>
      </c>
      <c r="E8" s="107" t="str">
        <f>+IF(ISERROR(VLOOKUP(D8,DATOS!V:W,2,0)),"",VLOOKUP(D8,DATOS!V:W,2,0))</f>
        <v/>
      </c>
    </row>
    <row r="9" spans="1:5" x14ac:dyDescent="0.25">
      <c r="A9" s="22" t="str">
        <f>+DATOS!AS9</f>
        <v>Proceso 8</v>
      </c>
      <c r="B9" s="58" t="str">
        <f>+IF(ISERROR(AVERAGEIF('RIESGO INHERENTE'!D:D,VLOOKUP(A9,DATOS!AS:AS,1,0),'RIESGO INHERENTE'!O:O)),"",AVERAGEIF('RIESGO INHERENTE'!D:D,VLOOKUP(A9,DATOS!AS:AS,1,0),'RIESGO INHERENTE'!O:O))</f>
        <v/>
      </c>
      <c r="C9" s="58" t="str">
        <f>+IF(ISERROR(AVERAGEIF('RIESGO INHERENTE'!D:D,VLOOKUP(A9,DATOS!AS:AS,1,0),'RIESGO INHERENTE'!P:P)),"",AVERAGEIF('RIESGO INHERENTE'!D:D,VLOOKUP(A9,DATOS!AS:AS,1,0),'RIESGO INHERENTE'!P:P))</f>
        <v/>
      </c>
      <c r="D9" s="22" t="str">
        <f t="shared" si="0"/>
        <v/>
      </c>
      <c r="E9" s="107" t="str">
        <f>+IF(ISERROR(VLOOKUP(D9,DATOS!V:W,2,0)),"",VLOOKUP(D9,DATOS!V:W,2,0))</f>
        <v/>
      </c>
    </row>
    <row r="10" spans="1:5" x14ac:dyDescent="0.25">
      <c r="A10" s="22" t="str">
        <f>+DATOS!AS10</f>
        <v>Proceso 9</v>
      </c>
      <c r="B10" s="58" t="str">
        <f>+IF(ISERROR(AVERAGEIF('RIESGO INHERENTE'!D:D,VLOOKUP(A10,DATOS!AS:AS,1,0),'RIESGO INHERENTE'!O:O)),"",AVERAGEIF('RIESGO INHERENTE'!D:D,VLOOKUP(A10,DATOS!AS:AS,1,0),'RIESGO INHERENTE'!O:O))</f>
        <v/>
      </c>
      <c r="C10" s="58" t="str">
        <f>+IF(ISERROR(AVERAGEIF('RIESGO INHERENTE'!D:D,VLOOKUP(A10,DATOS!AS:AS,1,0),'RIESGO INHERENTE'!P:P)),"",AVERAGEIF('RIESGO INHERENTE'!D:D,VLOOKUP(A10,DATOS!AS:AS,1,0),'RIESGO INHERENTE'!P:P))</f>
        <v/>
      </c>
      <c r="D10" s="22" t="str">
        <f t="shared" si="0"/>
        <v/>
      </c>
      <c r="E10" s="107" t="str">
        <f>+IF(ISERROR(VLOOKUP(D10,DATOS!V:W,2,0)),"",VLOOKUP(D10,DATOS!V:W,2,0))</f>
        <v/>
      </c>
    </row>
    <row r="11" spans="1:5" x14ac:dyDescent="0.25">
      <c r="A11" s="22" t="str">
        <f>+DATOS!AS11</f>
        <v>Proceso 10</v>
      </c>
      <c r="B11" s="58">
        <f>+IF(ISERROR(AVERAGEIF('RIESGO INHERENTE'!D:D,VLOOKUP(A11,DATOS!AS:AS,1,0),'RIESGO INHERENTE'!O:O)),"",AVERAGEIF('RIESGO INHERENTE'!D:D,VLOOKUP(A11,DATOS!AS:AS,1,0),'RIESGO INHERENTE'!O:O))</f>
        <v>5</v>
      </c>
      <c r="C11" s="58">
        <f>+IF(ISERROR(AVERAGEIF('RIESGO INHERENTE'!D:D,VLOOKUP(A11,DATOS!AS:AS,1,0),'RIESGO INHERENTE'!P:P)),"",AVERAGEIF('RIESGO INHERENTE'!D:D,VLOOKUP(A11,DATOS!AS:AS,1,0),'RIESGO INHERENTE'!P:P))</f>
        <v>4</v>
      </c>
      <c r="D11" s="22">
        <f t="shared" si="0"/>
        <v>20</v>
      </c>
      <c r="E11" s="107" t="str">
        <f>+IF(ISERROR(VLOOKUP(D11,DATOS!V:W,2,0)),"",VLOOKUP(D11,DATOS!V:W,2,0))</f>
        <v>EXTREMO</v>
      </c>
    </row>
    <row r="12" spans="1:5" x14ac:dyDescent="0.25">
      <c r="A12" s="22" t="str">
        <f>+DATOS!AS12</f>
        <v>Proceso 11</v>
      </c>
      <c r="B12" s="58" t="str">
        <f>+IF(ISERROR(AVERAGEIF('RIESGO INHERENTE'!D:D,VLOOKUP(A12,DATOS!AS:AS,1,0),'RIESGO INHERENTE'!O:O)),"",AVERAGEIF('RIESGO INHERENTE'!D:D,VLOOKUP(A12,DATOS!AS:AS,1,0),'RIESGO INHERENTE'!O:O))</f>
        <v/>
      </c>
      <c r="C12" s="58" t="str">
        <f>+IF(ISERROR(AVERAGEIF('RIESGO INHERENTE'!D:D,VLOOKUP(A12,DATOS!AS:AS,1,0),'RIESGO INHERENTE'!P:P)),"",AVERAGEIF('RIESGO INHERENTE'!D:D,VLOOKUP(A12,DATOS!AS:AS,1,0),'RIESGO INHERENTE'!P:P))</f>
        <v/>
      </c>
      <c r="D12" s="22" t="str">
        <f t="shared" si="0"/>
        <v/>
      </c>
      <c r="E12" s="107" t="str">
        <f>+IF(ISERROR(VLOOKUP(D12,DATOS!V:W,2,0)),"",VLOOKUP(D12,DATOS!V:W,2,0))</f>
        <v/>
      </c>
    </row>
    <row r="13" spans="1:5" x14ac:dyDescent="0.25">
      <c r="A13" s="22" t="str">
        <f>+DATOS!AS13</f>
        <v>Proceso 12</v>
      </c>
      <c r="B13" s="58" t="str">
        <f>+IF(ISERROR(AVERAGEIF('RIESGO INHERENTE'!D:D,VLOOKUP(A13,DATOS!AS:AS,1,0),'RIESGO INHERENTE'!O:O)),"",AVERAGEIF('RIESGO INHERENTE'!D:D,VLOOKUP(A13,DATOS!AS:AS,1,0),'RIESGO INHERENTE'!O:O))</f>
        <v/>
      </c>
      <c r="C13" s="58" t="str">
        <f>+IF(ISERROR(AVERAGEIF('RIESGO INHERENTE'!D:D,VLOOKUP(A13,DATOS!AS:AS,1,0),'RIESGO INHERENTE'!P:P)),"",AVERAGEIF('RIESGO INHERENTE'!D:D,VLOOKUP(A13,DATOS!AS:AS,1,0),'RIESGO INHERENTE'!P:P))</f>
        <v/>
      </c>
      <c r="D13" s="22" t="str">
        <f t="shared" si="0"/>
        <v/>
      </c>
      <c r="E13" s="107" t="str">
        <f>+IF(ISERROR(VLOOKUP(D13,DATOS!V:W,2,0)),"",VLOOKUP(D13,DATOS!V:W,2,0))</f>
        <v/>
      </c>
    </row>
    <row r="14" spans="1:5" x14ac:dyDescent="0.25">
      <c r="A14" s="22" t="str">
        <f>+DATOS!AS14</f>
        <v>Proceso 13</v>
      </c>
      <c r="B14" s="58" t="str">
        <f>+IF(ISERROR(AVERAGEIF('RIESGO INHERENTE'!D:D,VLOOKUP(A14,DATOS!AS:AS,1,0),'RIESGO INHERENTE'!O:O)),"",AVERAGEIF('RIESGO INHERENTE'!D:D,VLOOKUP(A14,DATOS!AS:AS,1,0),'RIESGO INHERENTE'!O:O))</f>
        <v/>
      </c>
      <c r="C14" s="58" t="str">
        <f>+IF(ISERROR(AVERAGEIF('RIESGO INHERENTE'!D:D,VLOOKUP(A14,DATOS!AS:AS,1,0),'RIESGO INHERENTE'!P:P)),"",AVERAGEIF('RIESGO INHERENTE'!D:D,VLOOKUP(A14,DATOS!AS:AS,1,0),'RIESGO INHERENTE'!P:P))</f>
        <v/>
      </c>
      <c r="D14" s="22" t="str">
        <f t="shared" si="0"/>
        <v/>
      </c>
      <c r="E14" s="107" t="str">
        <f>+IF(ISERROR(VLOOKUP(D14,DATOS!V:W,2,0)),"",VLOOKUP(D14,DATOS!V:W,2,0))</f>
        <v/>
      </c>
    </row>
    <row r="15" spans="1:5" x14ac:dyDescent="0.25">
      <c r="A15" s="22" t="str">
        <f>+DATOS!AS15</f>
        <v>Proceso 14</v>
      </c>
      <c r="B15" s="58" t="str">
        <f>+IF(ISERROR(AVERAGEIF('RIESGO INHERENTE'!D:D,VLOOKUP(A15,DATOS!AS:AS,1,0),'RIESGO INHERENTE'!O:O)),"",AVERAGEIF('RIESGO INHERENTE'!D:D,VLOOKUP(A15,DATOS!AS:AS,1,0),'RIESGO INHERENTE'!O:O))</f>
        <v/>
      </c>
      <c r="C15" s="58" t="str">
        <f>+IF(ISERROR(AVERAGEIF('RIESGO INHERENTE'!D:D,VLOOKUP(A15,DATOS!AS:AS,1,0),'RIESGO INHERENTE'!P:P)),"",AVERAGEIF('RIESGO INHERENTE'!D:D,VLOOKUP(A15,DATOS!AS:AS,1,0),'RIESGO INHERENTE'!P:P))</f>
        <v/>
      </c>
      <c r="D15" s="22" t="str">
        <f t="shared" si="0"/>
        <v/>
      </c>
      <c r="E15" s="107" t="str">
        <f>+IF(ISERROR(VLOOKUP(D15,DATOS!V:W,2,0)),"",VLOOKUP(D15,DATOS!V:W,2,0))</f>
        <v/>
      </c>
    </row>
    <row r="16" spans="1:5" x14ac:dyDescent="0.25">
      <c r="A16" s="22" t="str">
        <f>+DATOS!AS16</f>
        <v>Proceso 15</v>
      </c>
      <c r="B16" s="58" t="str">
        <f>+IF(ISERROR(AVERAGEIF('RIESGO INHERENTE'!D:D,VLOOKUP(A16,DATOS!AS:AS,1,0),'RIESGO INHERENTE'!O:O)),"",AVERAGEIF('RIESGO INHERENTE'!D:D,VLOOKUP(A16,DATOS!AS:AS,1,0),'RIESGO INHERENTE'!O:O))</f>
        <v/>
      </c>
      <c r="C16" s="58" t="str">
        <f>+IF(ISERROR(AVERAGEIF('RIESGO INHERENTE'!D:D,VLOOKUP(A16,DATOS!AS:AS,1,0),'RIESGO INHERENTE'!P:P)),"",AVERAGEIF('RIESGO INHERENTE'!D:D,VLOOKUP(A16,DATOS!AS:AS,1,0),'RIESGO INHERENTE'!P:P))</f>
        <v/>
      </c>
      <c r="D16" s="22" t="str">
        <f t="shared" si="0"/>
        <v/>
      </c>
      <c r="E16" s="107" t="str">
        <f>+IF(ISERROR(VLOOKUP(D16,DATOS!V:W,2,0)),"",VLOOKUP(D16,DATOS!V:W,2,0))</f>
        <v/>
      </c>
    </row>
    <row r="17" spans="1:5" x14ac:dyDescent="0.25">
      <c r="A17" s="22" t="str">
        <f>+DATOS!AS17</f>
        <v>Proceso 16</v>
      </c>
      <c r="B17" s="58" t="str">
        <f>+IF(ISERROR(AVERAGEIF('RIESGO INHERENTE'!D:D,VLOOKUP(A17,DATOS!AS:AS,1,0),'RIESGO INHERENTE'!O:O)),"",AVERAGEIF('RIESGO INHERENTE'!D:D,VLOOKUP(A17,DATOS!AS:AS,1,0),'RIESGO INHERENTE'!O:O))</f>
        <v/>
      </c>
      <c r="C17" s="58" t="str">
        <f>+IF(ISERROR(AVERAGEIF('RIESGO INHERENTE'!D:D,VLOOKUP(A17,DATOS!AS:AS,1,0),'RIESGO INHERENTE'!P:P)),"",AVERAGEIF('RIESGO INHERENTE'!D:D,VLOOKUP(A17,DATOS!AS:AS,1,0),'RIESGO INHERENTE'!P:P))</f>
        <v/>
      </c>
      <c r="D17" s="22" t="str">
        <f t="shared" si="0"/>
        <v/>
      </c>
      <c r="E17" s="107" t="str">
        <f>+IF(ISERROR(VLOOKUP(D17,DATOS!V:W,2,0)),"",VLOOKUP(D17,DATOS!V:W,2,0))</f>
        <v/>
      </c>
    </row>
    <row r="18" spans="1:5" x14ac:dyDescent="0.25">
      <c r="B18" s="191"/>
      <c r="C18" s="191"/>
    </row>
    <row r="19" spans="1:5" x14ac:dyDescent="0.25">
      <c r="B19" s="227"/>
      <c r="C19" s="227"/>
    </row>
    <row r="20" spans="1:5" x14ac:dyDescent="0.25">
      <c r="B20" s="227"/>
      <c r="C20" s="227"/>
    </row>
    <row r="21" spans="1:5" x14ac:dyDescent="0.25">
      <c r="B21" s="227"/>
      <c r="C21" s="227"/>
    </row>
    <row r="22" spans="1:5" x14ac:dyDescent="0.25">
      <c r="B22" s="227"/>
      <c r="C22" s="227"/>
    </row>
    <row r="23" spans="1:5" x14ac:dyDescent="0.25">
      <c r="B23" s="227"/>
      <c r="C23" s="227"/>
    </row>
    <row r="24" spans="1:5" x14ac:dyDescent="0.25">
      <c r="B24" s="227"/>
      <c r="C24" s="227"/>
    </row>
    <row r="25" spans="1:5" x14ac:dyDescent="0.25">
      <c r="B25" s="227"/>
      <c r="C25" s="227"/>
    </row>
    <row r="26" spans="1:5" x14ac:dyDescent="0.25">
      <c r="B26" s="227"/>
      <c r="C26" s="227"/>
    </row>
    <row r="27" spans="1:5" x14ac:dyDescent="0.25">
      <c r="B27" s="227"/>
      <c r="C27" s="227"/>
    </row>
    <row r="28" spans="1:5" x14ac:dyDescent="0.25">
      <c r="B28" s="227"/>
      <c r="C28" s="227"/>
    </row>
    <row r="29" spans="1:5" x14ac:dyDescent="0.25">
      <c r="B29" s="227"/>
      <c r="C29" s="227"/>
    </row>
    <row r="30" spans="1:5" x14ac:dyDescent="0.25">
      <c r="B30" s="227"/>
      <c r="C30" s="227"/>
    </row>
    <row r="31" spans="1:5" x14ac:dyDescent="0.25">
      <c r="B31" s="227"/>
      <c r="C31" s="227"/>
    </row>
    <row r="32" spans="1:5" x14ac:dyDescent="0.25">
      <c r="B32" s="227"/>
      <c r="C32" s="227"/>
    </row>
    <row r="33" spans="2:3" x14ac:dyDescent="0.25">
      <c r="B33" s="227"/>
      <c r="C33" s="227"/>
    </row>
    <row r="34" spans="2:3" x14ac:dyDescent="0.25">
      <c r="B34" s="227"/>
      <c r="C34" s="22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A966755-C528-4FD0-A24D-FBCA99176A0C}">
            <xm:f>E2=DATOS!$W$24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EF695A0E-33D2-42CE-BEAA-0C2A0C426249}">
            <xm:f>E2=DATOS!$W$17</xm:f>
            <x14:dxf>
              <fill>
                <patternFill>
                  <bgColor rgb="FFFFC000"/>
                </patternFill>
              </fill>
            </x14:dxf>
          </x14:cfRule>
          <x14:cfRule type="expression" priority="3" id="{1F6ABEC2-5485-47A3-88E0-D11D6FA767E7}">
            <xm:f>E2=DATOS!#REF!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4" id="{0C00FAE9-9A5E-4029-9053-83247868A398}">
            <xm:f>E2=DATOS!$W$2</xm:f>
            <x14:dxf>
              <fill>
                <patternFill>
                  <bgColor rgb="FF00B050"/>
                </patternFill>
              </fill>
            </x14:dxf>
          </x14:cfRule>
          <xm:sqref>E2:E17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G70"/>
  <sheetViews>
    <sheetView zoomScale="75" zoomScaleNormal="7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S7" sqref="S7"/>
    </sheetView>
  </sheetViews>
  <sheetFormatPr baseColWidth="10" defaultColWidth="11.42578125" defaultRowHeight="15" x14ac:dyDescent="0.25"/>
  <cols>
    <col min="1" max="1" width="7.42578125" style="19" bestFit="1" customWidth="1"/>
    <col min="2" max="2" width="42.42578125" style="19" customWidth="1"/>
    <col min="3" max="3" width="44.7109375" style="19" customWidth="1"/>
    <col min="4" max="4" width="87" style="19" customWidth="1"/>
    <col min="5" max="5" width="20.85546875" style="19" bestFit="1" customWidth="1"/>
    <col min="6" max="6" width="16.42578125" style="19" customWidth="1"/>
    <col min="7" max="7" width="23.28515625" style="19" bestFit="1" customWidth="1"/>
    <col min="8" max="8" width="21.85546875" style="19" bestFit="1" customWidth="1"/>
    <col min="9" max="9" width="22.5703125" style="19" bestFit="1" customWidth="1"/>
    <col min="10" max="10" width="26.5703125" style="19" bestFit="1" customWidth="1"/>
    <col min="11" max="11" width="26.7109375" style="60" bestFit="1" customWidth="1"/>
    <col min="12" max="12" width="23.5703125" style="19" bestFit="1" customWidth="1"/>
    <col min="13" max="13" width="23.5703125" style="19" customWidth="1"/>
    <col min="14" max="14" width="15.28515625" style="19" bestFit="1" customWidth="1"/>
    <col min="15" max="15" width="15.28515625" style="19" customWidth="1"/>
    <col min="16" max="16" width="11.140625" style="19" bestFit="1" customWidth="1"/>
    <col min="17" max="17" width="11.140625" style="19" customWidth="1"/>
    <col min="18" max="18" width="11.5703125" style="19" bestFit="1" customWidth="1"/>
    <col min="19" max="19" width="17.42578125" style="19" bestFit="1" customWidth="1"/>
    <col min="20" max="20" width="13.7109375" style="19" bestFit="1" customWidth="1"/>
    <col min="21" max="21" width="13.7109375" style="26" bestFit="1" customWidth="1"/>
    <col min="22" max="22" width="26.85546875" style="26" bestFit="1" customWidth="1"/>
    <col min="23" max="23" width="14.28515625" style="26" bestFit="1" customWidth="1"/>
    <col min="24" max="25" width="11.42578125" style="26"/>
    <col min="26" max="27" width="11.42578125" style="19"/>
    <col min="28" max="28" width="7.5703125" style="19" bestFit="1" customWidth="1"/>
    <col min="29" max="30" width="11.42578125" style="19"/>
    <col min="31" max="31" width="35.5703125" style="19" customWidth="1"/>
    <col min="32" max="32" width="31.140625" style="19" customWidth="1"/>
    <col min="33" max="33" width="39.5703125" style="19" customWidth="1"/>
    <col min="34" max="16384" width="11.42578125" style="19"/>
  </cols>
  <sheetData>
    <row r="1" spans="1:33" ht="17.25" thickTop="1" thickBot="1" x14ac:dyDescent="0.3">
      <c r="J1" s="228" t="s">
        <v>74</v>
      </c>
      <c r="K1" s="229">
        <v>50</v>
      </c>
      <c r="L1" s="295" t="s">
        <v>83</v>
      </c>
      <c r="M1" s="295"/>
      <c r="N1" s="295" t="s">
        <v>84</v>
      </c>
      <c r="O1" s="295"/>
      <c r="P1" s="295" t="s">
        <v>85</v>
      </c>
      <c r="Q1" s="295"/>
      <c r="S1" s="234" t="s">
        <v>90</v>
      </c>
      <c r="T1" s="237">
        <v>5</v>
      </c>
      <c r="U1" s="29"/>
      <c r="V1" s="238" t="s">
        <v>92</v>
      </c>
      <c r="W1" s="32" t="s">
        <v>97</v>
      </c>
      <c r="X1" s="23" t="s">
        <v>114</v>
      </c>
      <c r="Y1" s="19"/>
    </row>
    <row r="2" spans="1:33" ht="17.25" thickTop="1" thickBot="1" x14ac:dyDescent="0.3">
      <c r="J2" s="230" t="s">
        <v>75</v>
      </c>
      <c r="K2" s="231">
        <v>30</v>
      </c>
      <c r="L2" s="219" t="s">
        <v>149</v>
      </c>
      <c r="M2" s="219">
        <v>0</v>
      </c>
      <c r="N2" s="219" t="s">
        <v>149</v>
      </c>
      <c r="O2" s="219">
        <v>0</v>
      </c>
      <c r="P2" s="219" t="s">
        <v>149</v>
      </c>
      <c r="Q2" s="219">
        <v>0</v>
      </c>
      <c r="R2" s="232"/>
      <c r="S2" s="235" t="s">
        <v>151</v>
      </c>
      <c r="T2" s="231">
        <v>15</v>
      </c>
      <c r="U2" s="30"/>
      <c r="V2" s="238" t="s">
        <v>94</v>
      </c>
      <c r="W2" s="31" t="s">
        <v>98</v>
      </c>
      <c r="X2" s="23" t="s">
        <v>99</v>
      </c>
      <c r="Y2" s="19"/>
      <c r="Z2" s="60"/>
      <c r="AD2"/>
      <c r="AE2" s="293" t="s">
        <v>106</v>
      </c>
      <c r="AF2" s="294"/>
      <c r="AG2" s="45"/>
    </row>
    <row r="3" spans="1:33" ht="16.5" thickTop="1" x14ac:dyDescent="0.25">
      <c r="J3" s="230" t="s">
        <v>76</v>
      </c>
      <c r="K3" s="231">
        <v>10</v>
      </c>
      <c r="L3" s="219" t="s">
        <v>150</v>
      </c>
      <c r="M3" s="219">
        <v>10</v>
      </c>
      <c r="N3" s="219" t="s">
        <v>150</v>
      </c>
      <c r="O3" s="219">
        <v>5</v>
      </c>
      <c r="P3" s="219" t="s">
        <v>150</v>
      </c>
      <c r="Q3" s="219">
        <v>10</v>
      </c>
      <c r="R3" s="233"/>
      <c r="S3" s="235" t="s">
        <v>91</v>
      </c>
      <c r="T3" s="231">
        <v>25</v>
      </c>
      <c r="U3" s="32"/>
      <c r="V3" s="238" t="s">
        <v>93</v>
      </c>
      <c r="W3" s="30" t="s">
        <v>100</v>
      </c>
      <c r="X3" s="23" t="s">
        <v>101</v>
      </c>
      <c r="Y3" s="19"/>
      <c r="Z3" s="60"/>
      <c r="AD3"/>
      <c r="AE3" s="289" t="s">
        <v>108</v>
      </c>
      <c r="AF3" s="291" t="s">
        <v>109</v>
      </c>
      <c r="AG3" s="291" t="s">
        <v>107</v>
      </c>
    </row>
    <row r="4" spans="1:33" ht="15.75" thickBot="1" x14ac:dyDescent="0.3">
      <c r="J4" s="296" t="s">
        <v>77</v>
      </c>
      <c r="K4" s="297"/>
      <c r="L4" s="285" t="s">
        <v>86</v>
      </c>
      <c r="M4" s="297"/>
      <c r="N4" s="297"/>
      <c r="O4" s="297"/>
      <c r="P4" s="297"/>
      <c r="Q4" s="286"/>
      <c r="R4" s="236"/>
      <c r="S4" s="285" t="s">
        <v>89</v>
      </c>
      <c r="T4" s="286"/>
      <c r="U4" s="88"/>
      <c r="V4" s="88"/>
      <c r="W4" s="29" t="s">
        <v>102</v>
      </c>
      <c r="X4" s="23" t="s">
        <v>103</v>
      </c>
      <c r="Y4" s="19"/>
      <c r="Z4" s="60"/>
      <c r="AD4"/>
      <c r="AE4" s="290"/>
      <c r="AF4" s="292"/>
      <c r="AG4" s="292"/>
    </row>
    <row r="5" spans="1:33" ht="16.5" thickTop="1" thickBot="1" x14ac:dyDescent="0.3">
      <c r="A5" s="239" t="str">
        <f>'RIESGO INHERENTE'!$A$11</f>
        <v>RIESGO</v>
      </c>
      <c r="B5" s="239" t="str">
        <f>'RIESGO INHERENTE'!$C$11</f>
        <v>FACTOR DE RIESGO</v>
      </c>
      <c r="C5" s="239" t="str">
        <f>+'RIESGO INHERENTE'!B11</f>
        <v>DESCRIPCION RIESGO</v>
      </c>
      <c r="D5" s="239" t="s">
        <v>47</v>
      </c>
      <c r="E5" s="241" t="s">
        <v>48</v>
      </c>
      <c r="F5" s="239" t="s">
        <v>56</v>
      </c>
      <c r="G5" s="239" t="s">
        <v>57</v>
      </c>
      <c r="H5" s="239" t="s">
        <v>64</v>
      </c>
      <c r="I5" s="239" t="s">
        <v>67</v>
      </c>
      <c r="J5" s="299" t="s">
        <v>77</v>
      </c>
      <c r="K5" s="300"/>
      <c r="L5" s="298" t="s">
        <v>83</v>
      </c>
      <c r="M5" s="287"/>
      <c r="N5" s="287" t="s">
        <v>84</v>
      </c>
      <c r="O5" s="287"/>
      <c r="P5" s="287" t="s">
        <v>85</v>
      </c>
      <c r="Q5" s="288"/>
      <c r="R5" s="242" t="s">
        <v>88</v>
      </c>
      <c r="S5" s="298" t="s">
        <v>89</v>
      </c>
      <c r="T5" s="288"/>
      <c r="U5" s="243" t="s">
        <v>88</v>
      </c>
      <c r="V5" s="243" t="s">
        <v>95</v>
      </c>
      <c r="W5" s="243" t="s">
        <v>96</v>
      </c>
      <c r="X5" s="100"/>
      <c r="Y5" s="100"/>
      <c r="Z5" s="100"/>
      <c r="AA5" s="100"/>
      <c r="AD5"/>
      <c r="AE5" s="1" t="s">
        <v>110</v>
      </c>
      <c r="AF5" s="2" t="s">
        <v>103</v>
      </c>
      <c r="AG5" s="3">
        <v>0.8</v>
      </c>
    </row>
    <row r="6" spans="1:33" ht="30" customHeight="1" thickTop="1" x14ac:dyDescent="0.25">
      <c r="A6" s="271">
        <f>'RIESGO INHERENTE'!A12</f>
        <v>1</v>
      </c>
      <c r="B6" s="274" t="str">
        <f>+VLOOKUP(A6,'RIESGO INHERENTE'!A:C,3,0)</f>
        <v>Contrapartes (Clientes, Proveedores, Empleados, Accionistas, Vinculados) y Partes interesadas.</v>
      </c>
      <c r="C6" s="268" t="str">
        <f>+VLOOKUP(A6,'RIESGO INHERENTE'!A:B,2,0)</f>
        <v>Operar con personas que sean reconocidas como lavadores de activos, terroristas o financiadores del terrorismo que se encuentren referenciadas en listas restrictivas</v>
      </c>
      <c r="D6" s="186" t="s">
        <v>263</v>
      </c>
      <c r="E6" s="99" t="s">
        <v>50</v>
      </c>
      <c r="F6" s="97" t="s">
        <v>53</v>
      </c>
      <c r="G6" s="50" t="s">
        <v>58</v>
      </c>
      <c r="H6" s="97" t="s">
        <v>65</v>
      </c>
      <c r="I6" s="50"/>
      <c r="J6" s="93" t="s">
        <v>74</v>
      </c>
      <c r="K6" s="89">
        <f>+IF(ISERROR(VLOOKUP(J6,$J$1:$K$3,2,0)),0,VLOOKUP(J6,$J$1:$K$3,2,0))</f>
        <v>50</v>
      </c>
      <c r="L6" s="95" t="s">
        <v>150</v>
      </c>
      <c r="M6" s="46">
        <f>+IF(ISERROR(VLOOKUP(L6,$L$2:$M$3,2,0)),0,VLOOKUP(L6,$L$2:$M$3,2,0))</f>
        <v>10</v>
      </c>
      <c r="N6" s="95" t="s">
        <v>150</v>
      </c>
      <c r="O6" s="46">
        <f>+IF(ISERROR(VLOOKUP(N6,$N$2:$O$3,2,0)),0,VLOOKUP(N6,$N$2:$O$3,2,0))</f>
        <v>5</v>
      </c>
      <c r="P6" s="95" t="s">
        <v>150</v>
      </c>
      <c r="Q6" s="46">
        <f>+IF(ISERROR(VLOOKUP(P6,$P$2:$Q$3,2,0)),0,VLOOKUP(P6,$P$2:$Q$3,2,0))</f>
        <v>10</v>
      </c>
      <c r="R6" s="47">
        <f t="shared" ref="R6:R41" si="0">+Q6+O6+M6</f>
        <v>25</v>
      </c>
      <c r="S6" s="101" t="s">
        <v>91</v>
      </c>
      <c r="T6" s="85">
        <f>+IF(ISERROR(VLOOKUP(S6,$S$1:$T$3,2,0)),0,VLOOKUP(S6,$S$1:$T$3,2,0))</f>
        <v>25</v>
      </c>
      <c r="U6" s="48">
        <f t="shared" ref="U6:U41" si="1">+R6+T6+K6</f>
        <v>100</v>
      </c>
      <c r="V6" s="278">
        <f>ROUND(IF(AND(U8=0,U7=0),U6,IF(U8=0,AVERAGE(U6:U7),IF(AND(U8&lt;&gt;0,U7&lt;&gt;0,U6&lt;&gt;0),AVERAGE(U6:U8)))),0)</f>
        <v>88</v>
      </c>
      <c r="W6" s="281" t="str">
        <f>IF(AND(V6&lt;20,V6&gt;=0),"CRÍTICA",IF(AND(V6&lt;41,V6&gt;=20),"BAJA",IF(AND(V6&lt;91,V6&gt;=41),"BUENA",IF(AND(V6&lt;=100,V6&gt;=91),"EXCELENTE",0))))</f>
        <v>BUENA</v>
      </c>
      <c r="X6" s="91"/>
      <c r="Y6" s="91"/>
      <c r="AE6" s="4" t="s">
        <v>111</v>
      </c>
      <c r="AF6" s="5" t="s">
        <v>101</v>
      </c>
      <c r="AG6" s="6">
        <v>0.5</v>
      </c>
    </row>
    <row r="7" spans="1:33" ht="30" customHeight="1" x14ac:dyDescent="0.25">
      <c r="A7" s="272"/>
      <c r="B7" s="275"/>
      <c r="C7" s="269"/>
      <c r="D7" s="187" t="s">
        <v>264</v>
      </c>
      <c r="E7" s="22" t="s">
        <v>51</v>
      </c>
      <c r="F7" s="23" t="s">
        <v>54</v>
      </c>
      <c r="G7" s="23" t="s">
        <v>58</v>
      </c>
      <c r="H7" s="22" t="s">
        <v>65</v>
      </c>
      <c r="I7" s="23"/>
      <c r="J7" s="93" t="s">
        <v>74</v>
      </c>
      <c r="K7" s="89">
        <f t="shared" ref="K7:K41" si="2">+IF(ISERROR(VLOOKUP(J7,$J$1:$K$3,2,0)),0,VLOOKUP(J7,$J$1:$K$3,2,0))</f>
        <v>50</v>
      </c>
      <c r="L7" s="95" t="s">
        <v>149</v>
      </c>
      <c r="M7" s="46">
        <f t="shared" ref="M7:M41" si="3">+IF(ISERROR(VLOOKUP(L7,$L$2:$M$3,2,0)),0,VLOOKUP(L7,$L$2:$M$3,2,0))</f>
        <v>0</v>
      </c>
      <c r="N7" s="95" t="s">
        <v>149</v>
      </c>
      <c r="O7" s="46">
        <f t="shared" ref="O7:O41" si="4">+IF(ISERROR(VLOOKUP(N7,$N$2:$O$3,2,0)),0,VLOOKUP(N7,$N$2:$O$3,2,0))</f>
        <v>0</v>
      </c>
      <c r="P7" s="95" t="s">
        <v>150</v>
      </c>
      <c r="Q7" s="46">
        <f t="shared" ref="Q7:Q41" si="5">+IF(ISERROR(VLOOKUP(P7,$P$2:$Q$3,2,0)),0,VLOOKUP(P7,$P$2:$Q$3,2,0))</f>
        <v>10</v>
      </c>
      <c r="R7" s="47">
        <f t="shared" si="0"/>
        <v>10</v>
      </c>
      <c r="S7" s="101" t="s">
        <v>151</v>
      </c>
      <c r="T7" s="85">
        <f t="shared" ref="T7:T41" si="6">+IF(ISERROR(VLOOKUP(S7,$S$1:$T$3,2,0)),0,VLOOKUP(S7,$S$1:$T$3,2,0))</f>
        <v>15</v>
      </c>
      <c r="U7" s="48">
        <f t="shared" si="1"/>
        <v>75</v>
      </c>
      <c r="V7" s="278"/>
      <c r="W7" s="281"/>
      <c r="X7" s="91"/>
      <c r="Y7" s="91"/>
      <c r="AE7" s="4" t="s">
        <v>112</v>
      </c>
      <c r="AF7" s="5" t="s">
        <v>99</v>
      </c>
      <c r="AG7" s="6">
        <v>0.1</v>
      </c>
    </row>
    <row r="8" spans="1:33" ht="30" customHeight="1" thickBot="1" x14ac:dyDescent="0.3">
      <c r="A8" s="273"/>
      <c r="B8" s="276"/>
      <c r="C8" s="270"/>
      <c r="D8" s="188"/>
      <c r="E8" s="98"/>
      <c r="F8" s="54"/>
      <c r="G8" s="54"/>
      <c r="H8" s="98"/>
      <c r="I8" s="54"/>
      <c r="J8" s="94"/>
      <c r="K8" s="103">
        <f t="shared" si="2"/>
        <v>0</v>
      </c>
      <c r="L8" s="96"/>
      <c r="M8" s="55">
        <f t="shared" si="3"/>
        <v>0</v>
      </c>
      <c r="N8" s="96"/>
      <c r="O8" s="55">
        <f t="shared" si="4"/>
        <v>0</v>
      </c>
      <c r="P8" s="96"/>
      <c r="Q8" s="55">
        <f t="shared" si="5"/>
        <v>0</v>
      </c>
      <c r="R8" s="56">
        <f t="shared" si="0"/>
        <v>0</v>
      </c>
      <c r="S8" s="102"/>
      <c r="T8" s="86">
        <f t="shared" si="6"/>
        <v>0</v>
      </c>
      <c r="U8" s="57">
        <f t="shared" si="1"/>
        <v>0</v>
      </c>
      <c r="V8" s="279"/>
      <c r="W8" s="282"/>
      <c r="X8" s="91"/>
      <c r="Y8" s="91"/>
      <c r="AE8" s="7" t="s">
        <v>113</v>
      </c>
      <c r="AF8" s="8" t="s">
        <v>114</v>
      </c>
      <c r="AG8" s="9">
        <v>0</v>
      </c>
    </row>
    <row r="9" spans="1:33" ht="30" customHeight="1" thickTop="1" x14ac:dyDescent="0.25">
      <c r="A9" s="271">
        <f>'RIESGO INHERENTE'!A13</f>
        <v>2</v>
      </c>
      <c r="B9" s="274" t="str">
        <f>+VLOOKUP(A9,'RIESGO INHERENTE'!A:C,3,0)</f>
        <v>Contrapartes (Clientes, Proveedores, Empleados, Accionistas, Vinculados) y Partes interesadas.</v>
      </c>
      <c r="C9" s="268" t="str">
        <f>+VLOOKUP(A9,'RIESGO INHERENTE'!A:B,2,0)</f>
        <v>Operar con personas que presentan documentación falsa para realizar operaciones de LA/FT/FPADM.</v>
      </c>
      <c r="D9" s="186" t="s">
        <v>263</v>
      </c>
      <c r="E9" s="97" t="s">
        <v>50</v>
      </c>
      <c r="F9" s="50" t="s">
        <v>53</v>
      </c>
      <c r="G9" s="50" t="s">
        <v>58</v>
      </c>
      <c r="H9" s="99" t="s">
        <v>65</v>
      </c>
      <c r="I9" s="50"/>
      <c r="J9" s="93" t="s">
        <v>74</v>
      </c>
      <c r="K9" s="90">
        <f t="shared" si="2"/>
        <v>50</v>
      </c>
      <c r="L9" s="104" t="s">
        <v>150</v>
      </c>
      <c r="M9" s="51">
        <f t="shared" si="3"/>
        <v>10</v>
      </c>
      <c r="N9" s="104" t="s">
        <v>150</v>
      </c>
      <c r="O9" s="51">
        <f t="shared" si="4"/>
        <v>5</v>
      </c>
      <c r="P9" s="104" t="s">
        <v>150</v>
      </c>
      <c r="Q9" s="51">
        <f t="shared" si="5"/>
        <v>10</v>
      </c>
      <c r="R9" s="52">
        <f t="shared" si="0"/>
        <v>25</v>
      </c>
      <c r="S9" s="105" t="s">
        <v>91</v>
      </c>
      <c r="T9" s="84">
        <f t="shared" si="6"/>
        <v>25</v>
      </c>
      <c r="U9" s="53">
        <f t="shared" si="1"/>
        <v>100</v>
      </c>
      <c r="V9" s="277">
        <f>ROUND(IF(AND(U11=0,U10=0),U9,IF(U11=0,AVERAGE(U9:U10),IF(AND(U11&lt;&gt;0,U10&lt;&gt;0,U9&lt;&gt;0),AVERAGE(U9:U11)))),0)</f>
        <v>95</v>
      </c>
      <c r="W9" s="280" t="str">
        <f>IF(AND(V9&lt;20,V9&gt;=0),"CRÍTICA",IF(AND(V9&lt;41,V9&gt;=20),"BAJA",IF(AND(V9&lt;91,V9&gt;=41),"BUENA",IF(AND(V9&lt;=100,V9&gt;=91),"EXCELENTE",0))))</f>
        <v>EXCELENTE</v>
      </c>
      <c r="X9" s="284"/>
      <c r="Y9" s="283"/>
    </row>
    <row r="10" spans="1:33" ht="30" customHeight="1" x14ac:dyDescent="0.25">
      <c r="A10" s="272"/>
      <c r="B10" s="275"/>
      <c r="C10" s="269"/>
      <c r="D10" s="187" t="s">
        <v>190</v>
      </c>
      <c r="E10" s="22" t="s">
        <v>51</v>
      </c>
      <c r="F10" s="23" t="s">
        <v>54</v>
      </c>
      <c r="G10" s="23" t="s">
        <v>58</v>
      </c>
      <c r="H10" s="22" t="s">
        <v>65</v>
      </c>
      <c r="I10" s="23"/>
      <c r="J10" s="93" t="s">
        <v>74</v>
      </c>
      <c r="K10" s="89">
        <f t="shared" si="2"/>
        <v>50</v>
      </c>
      <c r="L10" s="95" t="s">
        <v>149</v>
      </c>
      <c r="M10" s="46">
        <f t="shared" si="3"/>
        <v>0</v>
      </c>
      <c r="N10" s="95" t="s">
        <v>150</v>
      </c>
      <c r="O10" s="46">
        <f t="shared" si="4"/>
        <v>5</v>
      </c>
      <c r="P10" s="95" t="s">
        <v>150</v>
      </c>
      <c r="Q10" s="46">
        <f t="shared" si="5"/>
        <v>10</v>
      </c>
      <c r="R10" s="47">
        <f t="shared" si="0"/>
        <v>15</v>
      </c>
      <c r="S10" s="101" t="s">
        <v>91</v>
      </c>
      <c r="T10" s="85">
        <f t="shared" si="6"/>
        <v>25</v>
      </c>
      <c r="U10" s="48">
        <f t="shared" si="1"/>
        <v>90</v>
      </c>
      <c r="V10" s="278"/>
      <c r="W10" s="281"/>
      <c r="X10" s="284"/>
      <c r="Y10" s="283"/>
    </row>
    <row r="11" spans="1:33" ht="30" customHeight="1" thickBot="1" x14ac:dyDescent="0.3">
      <c r="A11" s="273"/>
      <c r="B11" s="276"/>
      <c r="C11" s="270"/>
      <c r="D11" s="188"/>
      <c r="E11" s="98"/>
      <c r="F11" s="54"/>
      <c r="G11" s="54"/>
      <c r="H11" s="98"/>
      <c r="I11" s="54"/>
      <c r="J11" s="94"/>
      <c r="K11" s="103">
        <f t="shared" si="2"/>
        <v>0</v>
      </c>
      <c r="L11" s="96"/>
      <c r="M11" s="55">
        <f t="shared" si="3"/>
        <v>0</v>
      </c>
      <c r="N11" s="96"/>
      <c r="O11" s="55">
        <f t="shared" si="4"/>
        <v>0</v>
      </c>
      <c r="P11" s="96"/>
      <c r="Q11" s="55">
        <f t="shared" si="5"/>
        <v>0</v>
      </c>
      <c r="R11" s="56">
        <f t="shared" si="0"/>
        <v>0</v>
      </c>
      <c r="S11" s="102"/>
      <c r="T11" s="86">
        <f t="shared" si="6"/>
        <v>0</v>
      </c>
      <c r="U11" s="57">
        <f t="shared" si="1"/>
        <v>0</v>
      </c>
      <c r="V11" s="279"/>
      <c r="W11" s="282"/>
      <c r="X11" s="284"/>
      <c r="Y11" s="283"/>
    </row>
    <row r="12" spans="1:33" ht="30" customHeight="1" thickTop="1" x14ac:dyDescent="0.25">
      <c r="A12" s="271">
        <f>'RIESGO INHERENTE'!A14</f>
        <v>3</v>
      </c>
      <c r="B12" s="274" t="str">
        <f>+VLOOKUP(A12,'RIESGO INHERENTE'!A:C,3,0)</f>
        <v>Canal de Distribución</v>
      </c>
      <c r="C12" s="268" t="str">
        <f>+VLOOKUP(A12,'RIESGO INHERENTE'!A:B,2,0)</f>
        <v>Utilización de estructuras societarias complejas para canalizar fondos provenientes del delito de corrupción (tipologías regionales de gafilat: 2009 - 2016)</v>
      </c>
      <c r="D12" s="186" t="s">
        <v>188</v>
      </c>
      <c r="E12" s="97" t="s">
        <v>50</v>
      </c>
      <c r="F12" s="50" t="s">
        <v>53</v>
      </c>
      <c r="G12" s="50" t="s">
        <v>58</v>
      </c>
      <c r="H12" s="97" t="s">
        <v>65</v>
      </c>
      <c r="I12" s="50"/>
      <c r="J12" s="93" t="s">
        <v>74</v>
      </c>
      <c r="K12" s="90">
        <f t="shared" si="2"/>
        <v>50</v>
      </c>
      <c r="L12" s="104" t="s">
        <v>150</v>
      </c>
      <c r="M12" s="51">
        <f t="shared" si="3"/>
        <v>10</v>
      </c>
      <c r="N12" s="104" t="s">
        <v>150</v>
      </c>
      <c r="O12" s="51">
        <f t="shared" si="4"/>
        <v>5</v>
      </c>
      <c r="P12" s="104" t="s">
        <v>150</v>
      </c>
      <c r="Q12" s="51">
        <f t="shared" si="5"/>
        <v>10</v>
      </c>
      <c r="R12" s="52">
        <f t="shared" si="0"/>
        <v>25</v>
      </c>
      <c r="S12" s="105" t="s">
        <v>91</v>
      </c>
      <c r="T12" s="84">
        <f t="shared" si="6"/>
        <v>25</v>
      </c>
      <c r="U12" s="53">
        <f t="shared" si="1"/>
        <v>100</v>
      </c>
      <c r="V12" s="277">
        <f>ROUND(IF(AND(U14=0,U13=0),U12,IF(U14=0,AVERAGE(U12:U13),IF(AND(U14&lt;&gt;0,U13&lt;&gt;0,U12&lt;&gt;0),AVERAGE(U12:U14)))),0)</f>
        <v>100</v>
      </c>
      <c r="W12" s="280" t="str">
        <f>IF(AND(V12&lt;20,V12&gt;=0),"CRÍTICA",IF(AND(V12&lt;41,V12&gt;=20),"BAJA",IF(AND(V12&lt;91,V12&gt;=41),"BUENA",IF(AND(V12&lt;=100,V12&gt;=91),"EXCELENTE",0))))</f>
        <v>EXCELENTE</v>
      </c>
      <c r="X12" s="284"/>
      <c r="Y12" s="283"/>
    </row>
    <row r="13" spans="1:33" ht="30" customHeight="1" x14ac:dyDescent="0.25">
      <c r="A13" s="272"/>
      <c r="B13" s="275"/>
      <c r="C13" s="269"/>
      <c r="D13" s="187" t="s">
        <v>189</v>
      </c>
      <c r="E13" s="22" t="s">
        <v>51</v>
      </c>
      <c r="F13" s="23" t="s">
        <v>54</v>
      </c>
      <c r="G13" s="23" t="s">
        <v>58</v>
      </c>
      <c r="H13" s="22" t="s">
        <v>65</v>
      </c>
      <c r="I13" s="23"/>
      <c r="J13" s="93" t="s">
        <v>74</v>
      </c>
      <c r="K13" s="89">
        <f t="shared" si="2"/>
        <v>50</v>
      </c>
      <c r="L13" s="95" t="s">
        <v>150</v>
      </c>
      <c r="M13" s="46">
        <f t="shared" si="3"/>
        <v>10</v>
      </c>
      <c r="N13" s="95" t="s">
        <v>150</v>
      </c>
      <c r="O13" s="46">
        <f t="shared" si="4"/>
        <v>5</v>
      </c>
      <c r="P13" s="95" t="s">
        <v>150</v>
      </c>
      <c r="Q13" s="46">
        <f t="shared" si="5"/>
        <v>10</v>
      </c>
      <c r="R13" s="47">
        <f t="shared" si="0"/>
        <v>25</v>
      </c>
      <c r="S13" s="101" t="s">
        <v>91</v>
      </c>
      <c r="T13" s="85">
        <f t="shared" si="6"/>
        <v>25</v>
      </c>
      <c r="U13" s="48">
        <f t="shared" si="1"/>
        <v>100</v>
      </c>
      <c r="V13" s="278"/>
      <c r="W13" s="281"/>
      <c r="X13" s="284"/>
      <c r="Y13" s="283"/>
    </row>
    <row r="14" spans="1:33" ht="30" customHeight="1" thickBot="1" x14ac:dyDescent="0.3">
      <c r="A14" s="273"/>
      <c r="B14" s="276"/>
      <c r="C14" s="270"/>
      <c r="D14" s="188" t="s">
        <v>190</v>
      </c>
      <c r="E14" s="98" t="s">
        <v>51</v>
      </c>
      <c r="F14" s="54" t="s">
        <v>54</v>
      </c>
      <c r="G14" s="54" t="s">
        <v>58</v>
      </c>
      <c r="H14" s="98" t="s">
        <v>65</v>
      </c>
      <c r="I14" s="54"/>
      <c r="J14" s="94" t="s">
        <v>74</v>
      </c>
      <c r="K14" s="103">
        <f t="shared" si="2"/>
        <v>50</v>
      </c>
      <c r="L14" s="96" t="s">
        <v>150</v>
      </c>
      <c r="M14" s="55">
        <f t="shared" si="3"/>
        <v>10</v>
      </c>
      <c r="N14" s="96" t="s">
        <v>150</v>
      </c>
      <c r="O14" s="55">
        <f t="shared" si="4"/>
        <v>5</v>
      </c>
      <c r="P14" s="96" t="s">
        <v>150</v>
      </c>
      <c r="Q14" s="55">
        <f t="shared" si="5"/>
        <v>10</v>
      </c>
      <c r="R14" s="56">
        <f t="shared" si="0"/>
        <v>25</v>
      </c>
      <c r="S14" s="102" t="s">
        <v>91</v>
      </c>
      <c r="T14" s="86">
        <f t="shared" si="6"/>
        <v>25</v>
      </c>
      <c r="U14" s="57">
        <f t="shared" si="1"/>
        <v>100</v>
      </c>
      <c r="V14" s="279"/>
      <c r="W14" s="282"/>
      <c r="X14" s="284"/>
      <c r="Y14" s="283"/>
    </row>
    <row r="15" spans="1:33" ht="30" customHeight="1" thickTop="1" x14ac:dyDescent="0.25">
      <c r="A15" s="271">
        <f>'RIESGO INHERENTE'!A15</f>
        <v>4</v>
      </c>
      <c r="B15" s="274" t="str">
        <f>+VLOOKUP(A15,'RIESGO INHERENTE'!A:C,3,0)</f>
        <v>Contrapartes (Clientes, Proveedores, Empleados, Accionistas, Vinculados) y Partes interesadas.</v>
      </c>
      <c r="C15" s="268" t="str">
        <f>+VLOOKUP(A15,'RIESGO INHERENTE'!A:B,2,0)</f>
        <v>No se realiza un adecuado conocimiento del cliente / beneficiario final.</v>
      </c>
      <c r="D15" s="186" t="s">
        <v>264</v>
      </c>
      <c r="E15" s="97" t="s">
        <v>50</v>
      </c>
      <c r="F15" s="50" t="s">
        <v>53</v>
      </c>
      <c r="G15" s="50" t="s">
        <v>58</v>
      </c>
      <c r="H15" s="97" t="s">
        <v>65</v>
      </c>
      <c r="I15" s="50"/>
      <c r="J15" s="93" t="s">
        <v>74</v>
      </c>
      <c r="K15" s="90">
        <f t="shared" si="2"/>
        <v>50</v>
      </c>
      <c r="L15" s="104" t="s">
        <v>150</v>
      </c>
      <c r="M15" s="51">
        <f t="shared" si="3"/>
        <v>10</v>
      </c>
      <c r="N15" s="104" t="s">
        <v>150</v>
      </c>
      <c r="O15" s="51">
        <f t="shared" si="4"/>
        <v>5</v>
      </c>
      <c r="P15" s="104" t="s">
        <v>150</v>
      </c>
      <c r="Q15" s="51">
        <f t="shared" si="5"/>
        <v>10</v>
      </c>
      <c r="R15" s="52">
        <f t="shared" si="0"/>
        <v>25</v>
      </c>
      <c r="S15" s="105" t="s">
        <v>91</v>
      </c>
      <c r="T15" s="84">
        <f t="shared" si="6"/>
        <v>25</v>
      </c>
      <c r="U15" s="53">
        <f t="shared" si="1"/>
        <v>100</v>
      </c>
      <c r="V15" s="277">
        <f>ROUND(IF(AND(U17=0,U16=0),U15,IF(U17=0,AVERAGE(U15:U16),IF(AND(U17&lt;&gt;0,U16&lt;&gt;0,U15&lt;&gt;0),AVERAGE(U15:U17)))),0)</f>
        <v>100</v>
      </c>
      <c r="W15" s="280" t="str">
        <f>IF(AND(V15&lt;20,V15&gt;=0),"CRÍTICA",IF(AND(V15&lt;41,V15&gt;=20),"BAJA",IF(AND(V15&lt;91,V15&gt;=41),"BUENA",IF(AND(V15&lt;=100,V15&gt;=91),"EXCELENTE",0))))</f>
        <v>EXCELENTE</v>
      </c>
      <c r="X15" s="284"/>
      <c r="Y15" s="283"/>
    </row>
    <row r="16" spans="1:33" ht="30" customHeight="1" x14ac:dyDescent="0.25">
      <c r="A16" s="272"/>
      <c r="B16" s="275"/>
      <c r="C16" s="269"/>
      <c r="D16" s="187" t="s">
        <v>190</v>
      </c>
      <c r="E16" s="22" t="s">
        <v>51</v>
      </c>
      <c r="F16" s="23" t="s">
        <v>54</v>
      </c>
      <c r="G16" s="23" t="s">
        <v>58</v>
      </c>
      <c r="H16" s="22" t="s">
        <v>65</v>
      </c>
      <c r="I16" s="23"/>
      <c r="J16" s="93" t="s">
        <v>74</v>
      </c>
      <c r="K16" s="89">
        <f t="shared" si="2"/>
        <v>50</v>
      </c>
      <c r="L16" s="95" t="s">
        <v>150</v>
      </c>
      <c r="M16" s="46">
        <f t="shared" si="3"/>
        <v>10</v>
      </c>
      <c r="N16" s="95" t="s">
        <v>150</v>
      </c>
      <c r="O16" s="46">
        <f t="shared" si="4"/>
        <v>5</v>
      </c>
      <c r="P16" s="95" t="s">
        <v>150</v>
      </c>
      <c r="Q16" s="46">
        <f t="shared" si="5"/>
        <v>10</v>
      </c>
      <c r="R16" s="47">
        <f t="shared" si="0"/>
        <v>25</v>
      </c>
      <c r="S16" s="101" t="s">
        <v>91</v>
      </c>
      <c r="T16" s="85">
        <f t="shared" si="6"/>
        <v>25</v>
      </c>
      <c r="U16" s="48">
        <f t="shared" si="1"/>
        <v>100</v>
      </c>
      <c r="V16" s="278"/>
      <c r="W16" s="281"/>
      <c r="X16" s="284"/>
      <c r="Y16" s="283"/>
    </row>
    <row r="17" spans="1:25" ht="30" customHeight="1" thickBot="1" x14ac:dyDescent="0.3">
      <c r="A17" s="273"/>
      <c r="B17" s="276"/>
      <c r="C17" s="270"/>
      <c r="D17" s="188"/>
      <c r="E17" s="98"/>
      <c r="F17" s="54"/>
      <c r="G17" s="54"/>
      <c r="H17" s="98"/>
      <c r="I17" s="54"/>
      <c r="J17" s="94"/>
      <c r="K17" s="103">
        <f t="shared" si="2"/>
        <v>0</v>
      </c>
      <c r="L17" s="96"/>
      <c r="M17" s="55">
        <f t="shared" si="3"/>
        <v>0</v>
      </c>
      <c r="N17" s="96"/>
      <c r="O17" s="55">
        <f t="shared" si="4"/>
        <v>0</v>
      </c>
      <c r="P17" s="96"/>
      <c r="Q17" s="55">
        <f t="shared" si="5"/>
        <v>0</v>
      </c>
      <c r="R17" s="56">
        <f t="shared" si="0"/>
        <v>0</v>
      </c>
      <c r="S17" s="102"/>
      <c r="T17" s="86">
        <f t="shared" si="6"/>
        <v>0</v>
      </c>
      <c r="U17" s="57">
        <f t="shared" si="1"/>
        <v>0</v>
      </c>
      <c r="V17" s="279"/>
      <c r="W17" s="282"/>
      <c r="X17" s="284"/>
      <c r="Y17" s="283"/>
    </row>
    <row r="18" spans="1:25" ht="30" customHeight="1" thickTop="1" x14ac:dyDescent="0.25">
      <c r="A18" s="271">
        <f>'RIESGO INHERENTE'!A16</f>
        <v>5</v>
      </c>
      <c r="B18" s="274" t="str">
        <f>+VLOOKUP(A18,'RIESGO INHERENTE'!A:C,3,0)</f>
        <v>Contrapartes (Clientes, Proveedores, Empleados, Accionistas, Vinculados) y Partes interesadas.</v>
      </c>
      <c r="C18" s="268" t="str">
        <f>+VLOOKUP(A18,'RIESGO INHERENTE'!A:B,2,0)</f>
        <v xml:space="preserve">Pago de facturas a un tercero sin verificar listas de control. </v>
      </c>
      <c r="D18" s="186" t="s">
        <v>263</v>
      </c>
      <c r="E18" s="97" t="s">
        <v>50</v>
      </c>
      <c r="F18" s="49" t="s">
        <v>53</v>
      </c>
      <c r="G18" s="49" t="s">
        <v>58</v>
      </c>
      <c r="H18" s="99" t="s">
        <v>65</v>
      </c>
      <c r="I18" s="49"/>
      <c r="J18" s="93" t="s">
        <v>74</v>
      </c>
      <c r="K18" s="90">
        <f t="shared" si="2"/>
        <v>50</v>
      </c>
      <c r="L18" s="104" t="s">
        <v>150</v>
      </c>
      <c r="M18" s="51">
        <f t="shared" si="3"/>
        <v>10</v>
      </c>
      <c r="N18" s="104" t="s">
        <v>150</v>
      </c>
      <c r="O18" s="51">
        <f t="shared" si="4"/>
        <v>5</v>
      </c>
      <c r="P18" s="104" t="s">
        <v>150</v>
      </c>
      <c r="Q18" s="51">
        <f t="shared" si="5"/>
        <v>10</v>
      </c>
      <c r="R18" s="52">
        <f t="shared" si="0"/>
        <v>25</v>
      </c>
      <c r="S18" s="105" t="s">
        <v>91</v>
      </c>
      <c r="T18" s="84">
        <f t="shared" si="6"/>
        <v>25</v>
      </c>
      <c r="U18" s="53">
        <f t="shared" si="1"/>
        <v>100</v>
      </c>
      <c r="V18" s="277">
        <f>ROUND(IF(AND(U20=0,U19=0),U18,IF(U20=0,AVERAGE(U18:U19),IF(AND(U20&lt;&gt;0,U19&lt;&gt;0,U18&lt;&gt;0),AVERAGE(U18:U20)))),0)</f>
        <v>100</v>
      </c>
      <c r="W18" s="280" t="str">
        <f>IF(AND(V18&lt;20,V18&gt;=0),"CRÍTICA",IF(AND(V18&lt;41,V18&gt;=20),"BAJA",IF(AND(V18&lt;91,V18&gt;=41),"BUENA",IF(AND(V18&lt;=100,V18&gt;=91),"EXCELENTE",0))))</f>
        <v>EXCELENTE</v>
      </c>
      <c r="X18" s="284"/>
      <c r="Y18" s="283"/>
    </row>
    <row r="19" spans="1:25" ht="30" customHeight="1" x14ac:dyDescent="0.25">
      <c r="A19" s="272"/>
      <c r="B19" s="275"/>
      <c r="C19" s="269"/>
      <c r="D19" s="187" t="s">
        <v>190</v>
      </c>
      <c r="E19" s="22" t="s">
        <v>49</v>
      </c>
      <c r="F19" s="23" t="s">
        <v>54</v>
      </c>
      <c r="G19" s="23" t="s">
        <v>58</v>
      </c>
      <c r="H19" s="22" t="s">
        <v>65</v>
      </c>
      <c r="I19" s="23"/>
      <c r="J19" s="93" t="s">
        <v>74</v>
      </c>
      <c r="K19" s="89">
        <f t="shared" si="2"/>
        <v>50</v>
      </c>
      <c r="L19" s="95" t="s">
        <v>150</v>
      </c>
      <c r="M19" s="46">
        <f t="shared" si="3"/>
        <v>10</v>
      </c>
      <c r="N19" s="95" t="s">
        <v>150</v>
      </c>
      <c r="O19" s="46">
        <f t="shared" si="4"/>
        <v>5</v>
      </c>
      <c r="P19" s="95" t="s">
        <v>150</v>
      </c>
      <c r="Q19" s="46">
        <f t="shared" si="5"/>
        <v>10</v>
      </c>
      <c r="R19" s="47">
        <f t="shared" si="0"/>
        <v>25</v>
      </c>
      <c r="S19" s="101" t="s">
        <v>91</v>
      </c>
      <c r="T19" s="85">
        <f t="shared" si="6"/>
        <v>25</v>
      </c>
      <c r="U19" s="48">
        <f t="shared" si="1"/>
        <v>100</v>
      </c>
      <c r="V19" s="278"/>
      <c r="W19" s="281"/>
      <c r="X19" s="284"/>
      <c r="Y19" s="283"/>
    </row>
    <row r="20" spans="1:25" ht="30" customHeight="1" thickBot="1" x14ac:dyDescent="0.3">
      <c r="A20" s="273"/>
      <c r="B20" s="276"/>
      <c r="C20" s="270"/>
      <c r="D20" s="188"/>
      <c r="E20" s="98"/>
      <c r="F20" s="54"/>
      <c r="G20" s="54"/>
      <c r="H20" s="98"/>
      <c r="I20" s="54"/>
      <c r="J20" s="94"/>
      <c r="K20" s="103">
        <f t="shared" si="2"/>
        <v>0</v>
      </c>
      <c r="L20" s="96"/>
      <c r="M20" s="55">
        <f t="shared" si="3"/>
        <v>0</v>
      </c>
      <c r="N20" s="96"/>
      <c r="O20" s="55">
        <f t="shared" si="4"/>
        <v>0</v>
      </c>
      <c r="P20" s="96"/>
      <c r="Q20" s="55">
        <f t="shared" si="5"/>
        <v>0</v>
      </c>
      <c r="R20" s="56">
        <f t="shared" si="0"/>
        <v>0</v>
      </c>
      <c r="S20" s="102"/>
      <c r="T20" s="86">
        <f t="shared" si="6"/>
        <v>0</v>
      </c>
      <c r="U20" s="57">
        <f t="shared" si="1"/>
        <v>0</v>
      </c>
      <c r="V20" s="279"/>
      <c r="W20" s="282"/>
      <c r="X20" s="284"/>
      <c r="Y20" s="283"/>
    </row>
    <row r="21" spans="1:25" ht="30" customHeight="1" thickTop="1" x14ac:dyDescent="0.25">
      <c r="A21" s="271">
        <f>'RIESGO INHERENTE'!A17</f>
        <v>6</v>
      </c>
      <c r="B21" s="274" t="str">
        <f>+VLOOKUP(A21,'RIESGO INHERENTE'!A:C,3,0)</f>
        <v>Contrapartes (Clientes, Proveedores, Empleados, Accionistas, Vinculados) y Partes interesadas.</v>
      </c>
      <c r="C21" s="268" t="str">
        <f>+VLOOKUP(A21,'RIESGO INHERENTE'!A:B,2,0)</f>
        <v>Utilización de servicios de remesas y cambio de divisas, formales e informales y trasiego físico de dinero en efectivo (recopilación de tipologías regionales de gafilat: 2009 - 2016)</v>
      </c>
      <c r="D21" s="186" t="s">
        <v>265</v>
      </c>
      <c r="E21" s="97" t="s">
        <v>49</v>
      </c>
      <c r="F21" s="50" t="s">
        <v>53</v>
      </c>
      <c r="G21" s="50" t="s">
        <v>58</v>
      </c>
      <c r="H21" s="97" t="s">
        <v>65</v>
      </c>
      <c r="I21" s="50"/>
      <c r="J21" s="93" t="s">
        <v>75</v>
      </c>
      <c r="K21" s="90">
        <f t="shared" si="2"/>
        <v>30</v>
      </c>
      <c r="L21" s="104" t="s">
        <v>150</v>
      </c>
      <c r="M21" s="51">
        <f t="shared" si="3"/>
        <v>10</v>
      </c>
      <c r="N21" s="104" t="s">
        <v>150</v>
      </c>
      <c r="O21" s="51">
        <f t="shared" si="4"/>
        <v>5</v>
      </c>
      <c r="P21" s="104" t="s">
        <v>150</v>
      </c>
      <c r="Q21" s="51">
        <f t="shared" si="5"/>
        <v>10</v>
      </c>
      <c r="R21" s="52">
        <f t="shared" si="0"/>
        <v>25</v>
      </c>
      <c r="S21" s="105" t="s">
        <v>151</v>
      </c>
      <c r="T21" s="84">
        <f t="shared" si="6"/>
        <v>15</v>
      </c>
      <c r="U21" s="53">
        <f t="shared" si="1"/>
        <v>70</v>
      </c>
      <c r="V21" s="277">
        <f>ROUND(IF(AND(U23=0,U22=0),U21,IF(U23=0,AVERAGE(U21:U22),IF(AND(U23&lt;&gt;0,U22&lt;&gt;0,U21&lt;&gt;0),AVERAGE(U21:U23)))),0)</f>
        <v>83</v>
      </c>
      <c r="W21" s="280" t="str">
        <f>IF(AND(V21&lt;20,V21&gt;=0),"CRÍTICA",IF(AND(V21&lt;41,V21&gt;=20),"BAJA",IF(AND(V21&lt;91,V21&gt;=41),"BUENA",IF(AND(V21&lt;=100,V21&gt;=91),"EXCELENTE",0))))</f>
        <v>BUENA</v>
      </c>
      <c r="X21" s="284"/>
      <c r="Y21" s="283"/>
    </row>
    <row r="22" spans="1:25" ht="30" customHeight="1" x14ac:dyDescent="0.25">
      <c r="A22" s="272"/>
      <c r="B22" s="275"/>
      <c r="C22" s="269"/>
      <c r="D22" s="187" t="s">
        <v>190</v>
      </c>
      <c r="E22" s="22" t="s">
        <v>51</v>
      </c>
      <c r="F22" s="23" t="s">
        <v>54</v>
      </c>
      <c r="G22" s="23" t="s">
        <v>58</v>
      </c>
      <c r="H22" s="22" t="s">
        <v>65</v>
      </c>
      <c r="I22" s="23"/>
      <c r="J22" s="93" t="s">
        <v>74</v>
      </c>
      <c r="K22" s="89">
        <f t="shared" si="2"/>
        <v>50</v>
      </c>
      <c r="L22" s="95" t="s">
        <v>150</v>
      </c>
      <c r="M22" s="46">
        <f t="shared" si="3"/>
        <v>10</v>
      </c>
      <c r="N22" s="95" t="s">
        <v>150</v>
      </c>
      <c r="O22" s="46">
        <f t="shared" si="4"/>
        <v>5</v>
      </c>
      <c r="P22" s="95" t="s">
        <v>150</v>
      </c>
      <c r="Q22" s="46">
        <f t="shared" si="5"/>
        <v>10</v>
      </c>
      <c r="R22" s="47">
        <f t="shared" si="0"/>
        <v>25</v>
      </c>
      <c r="S22" s="101" t="s">
        <v>91</v>
      </c>
      <c r="T22" s="85">
        <f t="shared" si="6"/>
        <v>25</v>
      </c>
      <c r="U22" s="48">
        <f t="shared" si="1"/>
        <v>100</v>
      </c>
      <c r="V22" s="278"/>
      <c r="W22" s="281"/>
      <c r="X22" s="284"/>
      <c r="Y22" s="283"/>
    </row>
    <row r="23" spans="1:25" ht="30" customHeight="1" thickBot="1" x14ac:dyDescent="0.3">
      <c r="A23" s="273"/>
      <c r="B23" s="276"/>
      <c r="C23" s="270"/>
      <c r="D23" s="188" t="s">
        <v>192</v>
      </c>
      <c r="E23" s="98" t="s">
        <v>51</v>
      </c>
      <c r="F23" s="54" t="s">
        <v>54</v>
      </c>
      <c r="G23" s="54" t="s">
        <v>58</v>
      </c>
      <c r="H23" s="98" t="s">
        <v>65</v>
      </c>
      <c r="I23" s="54"/>
      <c r="J23" s="94" t="s">
        <v>75</v>
      </c>
      <c r="K23" s="103">
        <f t="shared" si="2"/>
        <v>30</v>
      </c>
      <c r="L23" s="96" t="s">
        <v>150</v>
      </c>
      <c r="M23" s="55">
        <f t="shared" si="3"/>
        <v>10</v>
      </c>
      <c r="N23" s="96" t="s">
        <v>150</v>
      </c>
      <c r="O23" s="55">
        <f t="shared" si="4"/>
        <v>5</v>
      </c>
      <c r="P23" s="96" t="s">
        <v>150</v>
      </c>
      <c r="Q23" s="55">
        <f t="shared" si="5"/>
        <v>10</v>
      </c>
      <c r="R23" s="56">
        <f t="shared" si="0"/>
        <v>25</v>
      </c>
      <c r="S23" s="102" t="s">
        <v>91</v>
      </c>
      <c r="T23" s="86">
        <f t="shared" si="6"/>
        <v>25</v>
      </c>
      <c r="U23" s="57">
        <f t="shared" si="1"/>
        <v>80</v>
      </c>
      <c r="V23" s="279"/>
      <c r="W23" s="282"/>
      <c r="X23" s="284"/>
      <c r="Y23" s="283"/>
    </row>
    <row r="24" spans="1:25" ht="30" customHeight="1" thickTop="1" x14ac:dyDescent="0.25">
      <c r="A24" s="271">
        <f>'RIESGO INHERENTE'!A18</f>
        <v>7</v>
      </c>
      <c r="B24" s="274" t="str">
        <f>+VLOOKUP(A24,'RIESGO INHERENTE'!A:C,3,0)</f>
        <v>Contrapartes (Clientes, Proveedores, Empleados, Accionistas, Vinculados) y Partes interesadas.</v>
      </c>
      <c r="C24" s="268" t="str">
        <f>+VLOOKUP(A24,'RIESGO INHERENTE'!A:B,2,0)</f>
        <v xml:space="preserve">No se realiza la consulta en listas de control periodicamente a proveedores que ya se encuentran vinculados </v>
      </c>
      <c r="D24" s="186" t="s">
        <v>193</v>
      </c>
      <c r="E24" s="97" t="s">
        <v>50</v>
      </c>
      <c r="F24" s="50" t="s">
        <v>54</v>
      </c>
      <c r="G24" s="50" t="s">
        <v>58</v>
      </c>
      <c r="H24" s="97" t="s">
        <v>65</v>
      </c>
      <c r="I24" s="50"/>
      <c r="J24" s="93" t="s">
        <v>74</v>
      </c>
      <c r="K24" s="90">
        <f t="shared" si="2"/>
        <v>50</v>
      </c>
      <c r="L24" s="104" t="s">
        <v>150</v>
      </c>
      <c r="M24" s="51">
        <f t="shared" si="3"/>
        <v>10</v>
      </c>
      <c r="N24" s="104" t="s">
        <v>150</v>
      </c>
      <c r="O24" s="51">
        <f t="shared" si="4"/>
        <v>5</v>
      </c>
      <c r="P24" s="104" t="s">
        <v>150</v>
      </c>
      <c r="Q24" s="51">
        <f t="shared" si="5"/>
        <v>10</v>
      </c>
      <c r="R24" s="52">
        <f t="shared" si="0"/>
        <v>25</v>
      </c>
      <c r="S24" s="105" t="s">
        <v>91</v>
      </c>
      <c r="T24" s="84">
        <f t="shared" si="6"/>
        <v>25</v>
      </c>
      <c r="U24" s="53">
        <f t="shared" si="1"/>
        <v>100</v>
      </c>
      <c r="V24" s="277">
        <f>ROUND(IF(AND(U26=0,U25=0),U24,IF(U26=0,AVERAGE(U24:U25),IF(AND(U26&lt;&gt;0,U25&lt;&gt;0,U24&lt;&gt;0),AVERAGE(U24:U26)))),0)</f>
        <v>100</v>
      </c>
      <c r="W24" s="280" t="str">
        <f>IF(AND(V24&lt;20,V24&gt;=0),"CRÍTICA",IF(AND(V24&lt;41,V24&gt;=20),"BAJA",IF(AND(V24&lt;91,V24&gt;=41),"BUENA",IF(AND(V24&lt;=100,V24&gt;=91),"EXCELENTE",0))))</f>
        <v>EXCELENTE</v>
      </c>
      <c r="X24" s="284"/>
      <c r="Y24" s="283"/>
    </row>
    <row r="25" spans="1:25" ht="30" customHeight="1" x14ac:dyDescent="0.25">
      <c r="A25" s="272"/>
      <c r="B25" s="275"/>
      <c r="C25" s="269"/>
      <c r="D25" s="187" t="s">
        <v>194</v>
      </c>
      <c r="E25" s="22" t="s">
        <v>51</v>
      </c>
      <c r="F25" s="23" t="s">
        <v>53</v>
      </c>
      <c r="G25" s="23" t="s">
        <v>58</v>
      </c>
      <c r="H25" s="22" t="s">
        <v>65</v>
      </c>
      <c r="I25" s="23"/>
      <c r="J25" s="93" t="s">
        <v>74</v>
      </c>
      <c r="K25" s="89">
        <f t="shared" si="2"/>
        <v>50</v>
      </c>
      <c r="L25" s="95" t="s">
        <v>150</v>
      </c>
      <c r="M25" s="46">
        <f t="shared" si="3"/>
        <v>10</v>
      </c>
      <c r="N25" s="95" t="s">
        <v>150</v>
      </c>
      <c r="O25" s="46">
        <f t="shared" si="4"/>
        <v>5</v>
      </c>
      <c r="P25" s="95" t="s">
        <v>150</v>
      </c>
      <c r="Q25" s="46">
        <f t="shared" si="5"/>
        <v>10</v>
      </c>
      <c r="R25" s="47">
        <f t="shared" si="0"/>
        <v>25</v>
      </c>
      <c r="S25" s="101" t="s">
        <v>91</v>
      </c>
      <c r="T25" s="85">
        <f t="shared" si="6"/>
        <v>25</v>
      </c>
      <c r="U25" s="48">
        <f t="shared" si="1"/>
        <v>100</v>
      </c>
      <c r="V25" s="278"/>
      <c r="W25" s="281"/>
      <c r="X25" s="284"/>
      <c r="Y25" s="283"/>
    </row>
    <row r="26" spans="1:25" ht="30" customHeight="1" thickBot="1" x14ac:dyDescent="0.3">
      <c r="A26" s="273"/>
      <c r="B26" s="276"/>
      <c r="C26" s="270"/>
      <c r="D26" s="188" t="s">
        <v>195</v>
      </c>
      <c r="E26" s="98" t="s">
        <v>50</v>
      </c>
      <c r="F26" s="54" t="s">
        <v>53</v>
      </c>
      <c r="G26" s="54" t="s">
        <v>58</v>
      </c>
      <c r="H26" s="98" t="s">
        <v>65</v>
      </c>
      <c r="I26" s="54"/>
      <c r="J26" s="94" t="s">
        <v>74</v>
      </c>
      <c r="K26" s="103">
        <f t="shared" si="2"/>
        <v>50</v>
      </c>
      <c r="L26" s="96" t="s">
        <v>150</v>
      </c>
      <c r="M26" s="55">
        <f t="shared" si="3"/>
        <v>10</v>
      </c>
      <c r="N26" s="96" t="s">
        <v>150</v>
      </c>
      <c r="O26" s="55">
        <f t="shared" si="4"/>
        <v>5</v>
      </c>
      <c r="P26" s="96" t="s">
        <v>150</v>
      </c>
      <c r="Q26" s="55">
        <f t="shared" si="5"/>
        <v>10</v>
      </c>
      <c r="R26" s="56">
        <f t="shared" si="0"/>
        <v>25</v>
      </c>
      <c r="S26" s="102" t="s">
        <v>91</v>
      </c>
      <c r="T26" s="86">
        <f t="shared" si="6"/>
        <v>25</v>
      </c>
      <c r="U26" s="57">
        <f t="shared" si="1"/>
        <v>100</v>
      </c>
      <c r="V26" s="279"/>
      <c r="W26" s="282"/>
      <c r="X26" s="284"/>
      <c r="Y26" s="283"/>
    </row>
    <row r="27" spans="1:25" ht="30" customHeight="1" thickTop="1" x14ac:dyDescent="0.25">
      <c r="A27" s="271">
        <f>'RIESGO INHERENTE'!A19</f>
        <v>8</v>
      </c>
      <c r="B27" s="274" t="str">
        <f>+VLOOKUP(A27,'RIESGO INHERENTE'!A:C,3,0)</f>
        <v>Contrapartes (Clientes, Proveedores, Empleados, Accionistas, Vinculados) y Partes interesadas.</v>
      </c>
      <c r="C27" s="268" t="str">
        <f>+VLOOKUP(A27,'RIESGO INHERENTE'!A:B,2,0)</f>
        <v>A los proveedores vinculados no se les realiza anualmente actualización de la información.</v>
      </c>
      <c r="D27" s="186" t="s">
        <v>196</v>
      </c>
      <c r="E27" s="97" t="s">
        <v>50</v>
      </c>
      <c r="F27" s="50" t="s">
        <v>53</v>
      </c>
      <c r="G27" s="50" t="s">
        <v>58</v>
      </c>
      <c r="H27" s="97" t="s">
        <v>65</v>
      </c>
      <c r="I27" s="50"/>
      <c r="J27" s="93" t="s">
        <v>74</v>
      </c>
      <c r="K27" s="90">
        <f t="shared" si="2"/>
        <v>50</v>
      </c>
      <c r="L27" s="104" t="s">
        <v>150</v>
      </c>
      <c r="M27" s="51">
        <f t="shared" si="3"/>
        <v>10</v>
      </c>
      <c r="N27" s="104" t="s">
        <v>150</v>
      </c>
      <c r="O27" s="51">
        <f t="shared" si="4"/>
        <v>5</v>
      </c>
      <c r="P27" s="104" t="s">
        <v>150</v>
      </c>
      <c r="Q27" s="51">
        <f t="shared" si="5"/>
        <v>10</v>
      </c>
      <c r="R27" s="52">
        <f t="shared" si="0"/>
        <v>25</v>
      </c>
      <c r="S27" s="105" t="s">
        <v>91</v>
      </c>
      <c r="T27" s="84">
        <f t="shared" si="6"/>
        <v>25</v>
      </c>
      <c r="U27" s="53">
        <f t="shared" si="1"/>
        <v>100</v>
      </c>
      <c r="V27" s="277">
        <f>ROUND(IF(AND(U29=0,U28=0),U27,IF(U29=0,AVERAGE(U27:U28),IF(AND(U29&lt;&gt;0,U28&lt;&gt;0,U27&lt;&gt;0),AVERAGE(U27:U29)))),0)</f>
        <v>100</v>
      </c>
      <c r="W27" s="280" t="str">
        <f>IF(AND(V27&lt;20,V27&gt;=0),"CRÍTICA",IF(AND(V27&lt;41,V27&gt;=20),"BAJA",IF(AND(V27&lt;91,V27&gt;=41),"BUENA",IF(AND(V27&lt;=100,V27&gt;=91),"EXCELENTE",0))))</f>
        <v>EXCELENTE</v>
      </c>
      <c r="X27" s="284"/>
      <c r="Y27" s="283"/>
    </row>
    <row r="28" spans="1:25" ht="30" customHeight="1" x14ac:dyDescent="0.25">
      <c r="A28" s="272"/>
      <c r="B28" s="275"/>
      <c r="C28" s="269"/>
      <c r="D28" s="187" t="s">
        <v>190</v>
      </c>
      <c r="E28" s="22" t="s">
        <v>51</v>
      </c>
      <c r="F28" s="23" t="s">
        <v>54</v>
      </c>
      <c r="G28" s="23" t="s">
        <v>58</v>
      </c>
      <c r="H28" s="22" t="s">
        <v>65</v>
      </c>
      <c r="I28" s="23"/>
      <c r="J28" s="93" t="s">
        <v>74</v>
      </c>
      <c r="K28" s="89">
        <f t="shared" si="2"/>
        <v>50</v>
      </c>
      <c r="L28" s="95" t="s">
        <v>150</v>
      </c>
      <c r="M28" s="46">
        <f t="shared" si="3"/>
        <v>10</v>
      </c>
      <c r="N28" s="95" t="s">
        <v>150</v>
      </c>
      <c r="O28" s="46">
        <f t="shared" si="4"/>
        <v>5</v>
      </c>
      <c r="P28" s="95" t="s">
        <v>150</v>
      </c>
      <c r="Q28" s="46">
        <f t="shared" si="5"/>
        <v>10</v>
      </c>
      <c r="R28" s="47">
        <f t="shared" si="0"/>
        <v>25</v>
      </c>
      <c r="S28" s="101" t="s">
        <v>91</v>
      </c>
      <c r="T28" s="85">
        <f t="shared" si="6"/>
        <v>25</v>
      </c>
      <c r="U28" s="48">
        <f t="shared" si="1"/>
        <v>100</v>
      </c>
      <c r="V28" s="278"/>
      <c r="W28" s="281"/>
      <c r="X28" s="284"/>
      <c r="Y28" s="283"/>
    </row>
    <row r="29" spans="1:25" ht="30" customHeight="1" thickBot="1" x14ac:dyDescent="0.3">
      <c r="A29" s="273"/>
      <c r="B29" s="276"/>
      <c r="C29" s="270"/>
      <c r="D29" s="188" t="s">
        <v>197</v>
      </c>
      <c r="E29" s="98" t="s">
        <v>50</v>
      </c>
      <c r="F29" s="54" t="s">
        <v>53</v>
      </c>
      <c r="G29" s="54" t="s">
        <v>58</v>
      </c>
      <c r="H29" s="98" t="s">
        <v>65</v>
      </c>
      <c r="I29" s="54"/>
      <c r="J29" s="94" t="s">
        <v>74</v>
      </c>
      <c r="K29" s="103">
        <f t="shared" si="2"/>
        <v>50</v>
      </c>
      <c r="L29" s="96" t="s">
        <v>150</v>
      </c>
      <c r="M29" s="55">
        <f t="shared" si="3"/>
        <v>10</v>
      </c>
      <c r="N29" s="96" t="s">
        <v>150</v>
      </c>
      <c r="O29" s="55">
        <f t="shared" si="4"/>
        <v>5</v>
      </c>
      <c r="P29" s="96" t="s">
        <v>150</v>
      </c>
      <c r="Q29" s="55">
        <f t="shared" si="5"/>
        <v>10</v>
      </c>
      <c r="R29" s="56">
        <f t="shared" si="0"/>
        <v>25</v>
      </c>
      <c r="S29" s="102" t="s">
        <v>91</v>
      </c>
      <c r="T29" s="86">
        <f t="shared" si="6"/>
        <v>25</v>
      </c>
      <c r="U29" s="57">
        <f t="shared" si="1"/>
        <v>100</v>
      </c>
      <c r="V29" s="279"/>
      <c r="W29" s="282"/>
      <c r="X29" s="284"/>
      <c r="Y29" s="283"/>
    </row>
    <row r="30" spans="1:25" ht="30" customHeight="1" thickTop="1" x14ac:dyDescent="0.25">
      <c r="A30" s="271">
        <f>'RIESGO INHERENTE'!A20</f>
        <v>9</v>
      </c>
      <c r="B30" s="274" t="str">
        <f>+VLOOKUP(A30,'RIESGO INHERENTE'!A:C,3,0)</f>
        <v>Contrapartes (Clientes, Proveedores, Empleados, Accionistas, Vinculados) y Partes interesadas.</v>
      </c>
      <c r="C30" s="268" t="str">
        <f>+VLOOKUP(A30,'RIESGO INHERENTE'!A:B,2,0)</f>
        <v>Se reciban prepagos de arrendamientos sin verificar el origen de los fondos.</v>
      </c>
      <c r="D30" s="186" t="s">
        <v>190</v>
      </c>
      <c r="E30" s="97" t="s">
        <v>51</v>
      </c>
      <c r="F30" s="50" t="s">
        <v>54</v>
      </c>
      <c r="G30" s="50" t="s">
        <v>58</v>
      </c>
      <c r="H30" s="97" t="s">
        <v>65</v>
      </c>
      <c r="I30" s="50"/>
      <c r="J30" s="93" t="s">
        <v>74</v>
      </c>
      <c r="K30" s="90">
        <f t="shared" si="2"/>
        <v>50</v>
      </c>
      <c r="L30" s="104" t="s">
        <v>150</v>
      </c>
      <c r="M30" s="51">
        <f t="shared" si="3"/>
        <v>10</v>
      </c>
      <c r="N30" s="104" t="s">
        <v>150</v>
      </c>
      <c r="O30" s="51">
        <f t="shared" si="4"/>
        <v>5</v>
      </c>
      <c r="P30" s="104" t="s">
        <v>150</v>
      </c>
      <c r="Q30" s="51">
        <f t="shared" si="5"/>
        <v>10</v>
      </c>
      <c r="R30" s="52">
        <f t="shared" si="0"/>
        <v>25</v>
      </c>
      <c r="S30" s="105" t="s">
        <v>91</v>
      </c>
      <c r="T30" s="84">
        <f t="shared" si="6"/>
        <v>25</v>
      </c>
      <c r="U30" s="53">
        <f t="shared" si="1"/>
        <v>100</v>
      </c>
      <c r="V30" s="277">
        <f>ROUND(IF(AND(U32=0,U31=0),U30,IF(U32=0,AVERAGE(U30:U31),IF(AND(U32&lt;&gt;0,U31&lt;&gt;0,U30&lt;&gt;0),AVERAGE(U30:U32)))),0)</f>
        <v>100</v>
      </c>
      <c r="W30" s="280" t="str">
        <f>IF(AND(V30&lt;20,V30&gt;=0),"CRÍTICA",IF(AND(V30&lt;41,V30&gt;=20),"BAJA",IF(AND(V30&lt;91,V30&gt;=41),"BUENA",IF(AND(V30&lt;=100,V30&gt;=91),"EXCELENTE",0))))</f>
        <v>EXCELENTE</v>
      </c>
      <c r="X30" s="284"/>
      <c r="Y30" s="283"/>
    </row>
    <row r="31" spans="1:25" ht="30" customHeight="1" x14ac:dyDescent="0.25">
      <c r="A31" s="272"/>
      <c r="B31" s="275"/>
      <c r="C31" s="269"/>
      <c r="D31" s="187" t="s">
        <v>266</v>
      </c>
      <c r="E31" s="22" t="s">
        <v>51</v>
      </c>
      <c r="F31" s="23" t="s">
        <v>54</v>
      </c>
      <c r="G31" s="23" t="s">
        <v>58</v>
      </c>
      <c r="H31" s="22" t="s">
        <v>65</v>
      </c>
      <c r="I31" s="23"/>
      <c r="J31" s="93" t="s">
        <v>74</v>
      </c>
      <c r="K31" s="89">
        <f t="shared" si="2"/>
        <v>50</v>
      </c>
      <c r="L31" s="95" t="s">
        <v>150</v>
      </c>
      <c r="M31" s="46">
        <f t="shared" si="3"/>
        <v>10</v>
      </c>
      <c r="N31" s="95" t="s">
        <v>150</v>
      </c>
      <c r="O31" s="46">
        <f t="shared" si="4"/>
        <v>5</v>
      </c>
      <c r="P31" s="95" t="s">
        <v>150</v>
      </c>
      <c r="Q31" s="46">
        <f t="shared" si="5"/>
        <v>10</v>
      </c>
      <c r="R31" s="47">
        <f t="shared" si="0"/>
        <v>25</v>
      </c>
      <c r="S31" s="101" t="s">
        <v>91</v>
      </c>
      <c r="T31" s="85">
        <f t="shared" si="6"/>
        <v>25</v>
      </c>
      <c r="U31" s="48">
        <f t="shared" si="1"/>
        <v>100</v>
      </c>
      <c r="V31" s="278"/>
      <c r="W31" s="281"/>
      <c r="X31" s="284"/>
      <c r="Y31" s="283"/>
    </row>
    <row r="32" spans="1:25" ht="30" customHeight="1" thickBot="1" x14ac:dyDescent="0.3">
      <c r="A32" s="273"/>
      <c r="B32" s="276"/>
      <c r="C32" s="270"/>
      <c r="D32" s="188"/>
      <c r="E32" s="98"/>
      <c r="F32" s="54"/>
      <c r="G32" s="54"/>
      <c r="H32" s="98"/>
      <c r="I32" s="54"/>
      <c r="J32" s="94"/>
      <c r="K32" s="103">
        <f t="shared" si="2"/>
        <v>0</v>
      </c>
      <c r="L32" s="96"/>
      <c r="M32" s="55">
        <f t="shared" si="3"/>
        <v>0</v>
      </c>
      <c r="N32" s="96"/>
      <c r="O32" s="55">
        <f t="shared" si="4"/>
        <v>0</v>
      </c>
      <c r="P32" s="96"/>
      <c r="Q32" s="55">
        <f t="shared" si="5"/>
        <v>0</v>
      </c>
      <c r="R32" s="56">
        <f t="shared" si="0"/>
        <v>0</v>
      </c>
      <c r="S32" s="102"/>
      <c r="T32" s="86">
        <f t="shared" si="6"/>
        <v>0</v>
      </c>
      <c r="U32" s="57">
        <f t="shared" si="1"/>
        <v>0</v>
      </c>
      <c r="V32" s="279"/>
      <c r="W32" s="282"/>
      <c r="X32" s="284"/>
      <c r="Y32" s="283"/>
    </row>
    <row r="33" spans="1:25" ht="30" customHeight="1" thickTop="1" x14ac:dyDescent="0.25">
      <c r="A33" s="271">
        <f>'RIESGO INHERENTE'!A21</f>
        <v>10</v>
      </c>
      <c r="B33" s="274" t="str">
        <f>+VLOOKUP(A33,'RIESGO INHERENTE'!A:C,3,0)</f>
        <v>Contrapartes (Clientes, Proveedores, Empleados, Accionistas, Vinculados) y Partes interesadas.</v>
      </c>
      <c r="C33" s="268" t="str">
        <f>+VLOOKUP(A33,'RIESGO INHERENTE'!A:B,2,0)</f>
        <v>No se realiza la calificación o score de riesgo LA/FT/FPADM de los clientes previa vinculación</v>
      </c>
      <c r="D33" s="186" t="s">
        <v>196</v>
      </c>
      <c r="E33" s="97" t="s">
        <v>50</v>
      </c>
      <c r="F33" s="50" t="s">
        <v>54</v>
      </c>
      <c r="G33" s="50" t="s">
        <v>58</v>
      </c>
      <c r="H33" s="97" t="s">
        <v>65</v>
      </c>
      <c r="I33" s="50"/>
      <c r="J33" s="93" t="s">
        <v>74</v>
      </c>
      <c r="K33" s="90">
        <f t="shared" si="2"/>
        <v>50</v>
      </c>
      <c r="L33" s="104" t="s">
        <v>150</v>
      </c>
      <c r="M33" s="51">
        <f t="shared" si="3"/>
        <v>10</v>
      </c>
      <c r="N33" s="104" t="s">
        <v>150</v>
      </c>
      <c r="O33" s="51">
        <f t="shared" si="4"/>
        <v>5</v>
      </c>
      <c r="P33" s="104" t="s">
        <v>150</v>
      </c>
      <c r="Q33" s="51">
        <f t="shared" si="5"/>
        <v>10</v>
      </c>
      <c r="R33" s="52">
        <f t="shared" si="0"/>
        <v>25</v>
      </c>
      <c r="S33" s="105" t="s">
        <v>91</v>
      </c>
      <c r="T33" s="84">
        <f t="shared" si="6"/>
        <v>25</v>
      </c>
      <c r="U33" s="53">
        <f t="shared" si="1"/>
        <v>100</v>
      </c>
      <c r="V33" s="277">
        <f>ROUND(IF(AND(U35=0,U34=0),U33,IF(U35=0,AVERAGE(U33:U34),IF(AND(U35&lt;&gt;0,U34&lt;&gt;0,U33&lt;&gt;0),AVERAGE(U33:U35)))),0)</f>
        <v>100</v>
      </c>
      <c r="W33" s="280" t="str">
        <f>IF(AND(V33&lt;20,V33&gt;=0),"CRÍTICA",IF(AND(V33&lt;41,V33&gt;=20),"BAJA",IF(AND(V33&lt;91,V33&gt;=41),"BUENA",IF(AND(V33&lt;=100,V33&gt;=91),"EXCELENTE",0))))</f>
        <v>EXCELENTE</v>
      </c>
      <c r="X33" s="284"/>
      <c r="Y33" s="283"/>
    </row>
    <row r="34" spans="1:25" ht="30" customHeight="1" x14ac:dyDescent="0.25">
      <c r="A34" s="272"/>
      <c r="B34" s="275"/>
      <c r="C34" s="269"/>
      <c r="D34" s="187" t="s">
        <v>190</v>
      </c>
      <c r="E34" s="22" t="s">
        <v>51</v>
      </c>
      <c r="F34" s="23" t="s">
        <v>53</v>
      </c>
      <c r="G34" s="23" t="s">
        <v>58</v>
      </c>
      <c r="H34" s="22" t="s">
        <v>65</v>
      </c>
      <c r="I34" s="23"/>
      <c r="J34" s="93" t="s">
        <v>74</v>
      </c>
      <c r="K34" s="89">
        <f t="shared" si="2"/>
        <v>50</v>
      </c>
      <c r="L34" s="95" t="s">
        <v>150</v>
      </c>
      <c r="M34" s="46">
        <f t="shared" si="3"/>
        <v>10</v>
      </c>
      <c r="N34" s="95" t="s">
        <v>150</v>
      </c>
      <c r="O34" s="46">
        <f t="shared" si="4"/>
        <v>5</v>
      </c>
      <c r="P34" s="95" t="s">
        <v>150</v>
      </c>
      <c r="Q34" s="46">
        <f t="shared" si="5"/>
        <v>10</v>
      </c>
      <c r="R34" s="47">
        <f t="shared" si="0"/>
        <v>25</v>
      </c>
      <c r="S34" s="101" t="s">
        <v>91</v>
      </c>
      <c r="T34" s="85">
        <f t="shared" si="6"/>
        <v>25</v>
      </c>
      <c r="U34" s="48">
        <f t="shared" si="1"/>
        <v>100</v>
      </c>
      <c r="V34" s="278"/>
      <c r="W34" s="281"/>
      <c r="X34" s="284"/>
      <c r="Y34" s="283"/>
    </row>
    <row r="35" spans="1:25" ht="30" customHeight="1" thickBot="1" x14ac:dyDescent="0.3">
      <c r="A35" s="273"/>
      <c r="B35" s="276"/>
      <c r="C35" s="270"/>
      <c r="D35" s="188" t="s">
        <v>197</v>
      </c>
      <c r="E35" s="98" t="s">
        <v>50</v>
      </c>
      <c r="F35" s="54" t="s">
        <v>53</v>
      </c>
      <c r="G35" s="54" t="s">
        <v>58</v>
      </c>
      <c r="H35" s="98" t="s">
        <v>65</v>
      </c>
      <c r="I35" s="54"/>
      <c r="J35" s="94" t="s">
        <v>74</v>
      </c>
      <c r="K35" s="103">
        <f t="shared" si="2"/>
        <v>50</v>
      </c>
      <c r="L35" s="96" t="s">
        <v>150</v>
      </c>
      <c r="M35" s="55">
        <f t="shared" si="3"/>
        <v>10</v>
      </c>
      <c r="N35" s="96" t="s">
        <v>150</v>
      </c>
      <c r="O35" s="55">
        <f t="shared" si="4"/>
        <v>5</v>
      </c>
      <c r="P35" s="96" t="s">
        <v>150</v>
      </c>
      <c r="Q35" s="55">
        <f t="shared" si="5"/>
        <v>10</v>
      </c>
      <c r="R35" s="56">
        <f t="shared" si="0"/>
        <v>25</v>
      </c>
      <c r="S35" s="102" t="s">
        <v>91</v>
      </c>
      <c r="T35" s="86">
        <f t="shared" si="6"/>
        <v>25</v>
      </c>
      <c r="U35" s="57">
        <f t="shared" si="1"/>
        <v>100</v>
      </c>
      <c r="V35" s="279"/>
      <c r="W35" s="282"/>
      <c r="X35" s="284"/>
      <c r="Y35" s="283"/>
    </row>
    <row r="36" spans="1:25" ht="30" customHeight="1" thickTop="1" x14ac:dyDescent="0.25">
      <c r="A36" s="271">
        <f>'RIESGO INHERENTE'!A22</f>
        <v>11</v>
      </c>
      <c r="B36" s="274" t="str">
        <f>+VLOOKUP(A36,'RIESGO INHERENTE'!A:C,3,0)</f>
        <v>Contrapartes (Clientes, Proveedores, Empleados, Accionistas, Vinculados) y Partes interesadas.</v>
      </c>
      <c r="C36" s="268" t="str">
        <f>+VLOOKUP(A36,'RIESGO INHERENTE'!A:B,2,0)</f>
        <v>Se vinculan proveedores sin que se pueda establecer la legitimidad de sus actividades o procedencia de sus fondos.</v>
      </c>
      <c r="D36" s="186" t="s">
        <v>198</v>
      </c>
      <c r="E36" s="97" t="s">
        <v>51</v>
      </c>
      <c r="F36" s="50" t="s">
        <v>54</v>
      </c>
      <c r="G36" s="50" t="s">
        <v>58</v>
      </c>
      <c r="H36" s="97" t="s">
        <v>65</v>
      </c>
      <c r="I36" s="50"/>
      <c r="J36" s="93" t="s">
        <v>74</v>
      </c>
      <c r="K36" s="90">
        <f t="shared" si="2"/>
        <v>50</v>
      </c>
      <c r="L36" s="104" t="s">
        <v>150</v>
      </c>
      <c r="M36" s="51">
        <f t="shared" si="3"/>
        <v>10</v>
      </c>
      <c r="N36" s="104" t="s">
        <v>150</v>
      </c>
      <c r="O36" s="51">
        <f t="shared" si="4"/>
        <v>5</v>
      </c>
      <c r="P36" s="104" t="s">
        <v>150</v>
      </c>
      <c r="Q36" s="51">
        <f t="shared" si="5"/>
        <v>10</v>
      </c>
      <c r="R36" s="52">
        <f t="shared" si="0"/>
        <v>25</v>
      </c>
      <c r="S36" s="105" t="s">
        <v>91</v>
      </c>
      <c r="T36" s="84">
        <f t="shared" si="6"/>
        <v>25</v>
      </c>
      <c r="U36" s="53">
        <f t="shared" si="1"/>
        <v>100</v>
      </c>
      <c r="V36" s="277">
        <f>ROUND(IF(AND(U38=0,U37=0),U36,IF(U38=0,AVERAGE(U36:U37),IF(AND(U38&lt;&gt;0,U37&lt;&gt;0,U36&lt;&gt;0),AVERAGE(U36:U38)))),0)</f>
        <v>100</v>
      </c>
      <c r="W36" s="280" t="str">
        <f>IF(AND(V36&lt;20,V36&gt;=0),"CRÍTICA",IF(AND(V36&lt;41,V36&gt;=20),"BAJA",IF(AND(V36&lt;91,V36&gt;=41),"BUENA",IF(AND(V36&lt;=100,V36&gt;=91),"EXCELENTE",0))))</f>
        <v>EXCELENTE</v>
      </c>
      <c r="X36" s="284"/>
      <c r="Y36" s="283"/>
    </row>
    <row r="37" spans="1:25" ht="30" customHeight="1" x14ac:dyDescent="0.25">
      <c r="A37" s="272"/>
      <c r="B37" s="275"/>
      <c r="C37" s="269"/>
      <c r="D37" s="187" t="s">
        <v>195</v>
      </c>
      <c r="E37" s="22" t="s">
        <v>50</v>
      </c>
      <c r="F37" s="23" t="s">
        <v>53</v>
      </c>
      <c r="G37" s="23" t="s">
        <v>58</v>
      </c>
      <c r="H37" s="22" t="s">
        <v>65</v>
      </c>
      <c r="I37" s="23"/>
      <c r="J37" s="93" t="s">
        <v>74</v>
      </c>
      <c r="K37" s="89">
        <f t="shared" si="2"/>
        <v>50</v>
      </c>
      <c r="L37" s="95" t="s">
        <v>150</v>
      </c>
      <c r="M37" s="46">
        <f t="shared" si="3"/>
        <v>10</v>
      </c>
      <c r="N37" s="95" t="s">
        <v>150</v>
      </c>
      <c r="O37" s="46">
        <f t="shared" si="4"/>
        <v>5</v>
      </c>
      <c r="P37" s="95" t="s">
        <v>150</v>
      </c>
      <c r="Q37" s="46">
        <f t="shared" si="5"/>
        <v>10</v>
      </c>
      <c r="R37" s="47">
        <f t="shared" si="0"/>
        <v>25</v>
      </c>
      <c r="S37" s="101" t="s">
        <v>91</v>
      </c>
      <c r="T37" s="85">
        <f t="shared" si="6"/>
        <v>25</v>
      </c>
      <c r="U37" s="48">
        <f t="shared" si="1"/>
        <v>100</v>
      </c>
      <c r="V37" s="278"/>
      <c r="W37" s="281"/>
      <c r="X37" s="284"/>
      <c r="Y37" s="283"/>
    </row>
    <row r="38" spans="1:25" ht="30" customHeight="1" thickBot="1" x14ac:dyDescent="0.3">
      <c r="A38" s="273"/>
      <c r="B38" s="276"/>
      <c r="C38" s="270"/>
      <c r="D38" s="188"/>
      <c r="E38" s="98"/>
      <c r="F38" s="54"/>
      <c r="G38" s="54"/>
      <c r="H38" s="98"/>
      <c r="I38" s="54"/>
      <c r="J38" s="94"/>
      <c r="K38" s="103">
        <f t="shared" si="2"/>
        <v>0</v>
      </c>
      <c r="L38" s="96"/>
      <c r="M38" s="55">
        <f t="shared" si="3"/>
        <v>0</v>
      </c>
      <c r="N38" s="96"/>
      <c r="O38" s="55">
        <f t="shared" si="4"/>
        <v>0</v>
      </c>
      <c r="P38" s="96"/>
      <c r="Q38" s="55">
        <f t="shared" si="5"/>
        <v>0</v>
      </c>
      <c r="R38" s="56">
        <f t="shared" si="0"/>
        <v>0</v>
      </c>
      <c r="S38" s="102"/>
      <c r="T38" s="86">
        <f t="shared" si="6"/>
        <v>0</v>
      </c>
      <c r="U38" s="57">
        <f t="shared" si="1"/>
        <v>0</v>
      </c>
      <c r="V38" s="279"/>
      <c r="W38" s="282"/>
      <c r="X38" s="284"/>
      <c r="Y38" s="283"/>
    </row>
    <row r="39" spans="1:25" ht="30" customHeight="1" thickTop="1" x14ac:dyDescent="0.25">
      <c r="A39" s="271">
        <f>'RIESGO INHERENTE'!A23</f>
        <v>12</v>
      </c>
      <c r="B39" s="274" t="str">
        <f>+VLOOKUP(A39,'RIESGO INHERENTE'!A:C,3,0)</f>
        <v>Contrapartes (Clientes, Proveedores, Empleados, Accionistas, Vinculados) y Partes interesadas.</v>
      </c>
      <c r="C39" s="268" t="str">
        <f>+VLOOKUP(A39,'RIESGO INHERENTE'!A:B,2,0)</f>
        <v>Se vinculen proveedores nacionales o extranjeros ubicados en jurisdicciones consideradas como Alto Riesgo</v>
      </c>
      <c r="D39" s="186" t="s">
        <v>199</v>
      </c>
      <c r="E39" s="97" t="s">
        <v>51</v>
      </c>
      <c r="F39" s="50" t="s">
        <v>54</v>
      </c>
      <c r="G39" s="50" t="s">
        <v>58</v>
      </c>
      <c r="H39" s="97" t="s">
        <v>65</v>
      </c>
      <c r="I39" s="50"/>
      <c r="J39" s="93" t="s">
        <v>74</v>
      </c>
      <c r="K39" s="90">
        <f t="shared" si="2"/>
        <v>50</v>
      </c>
      <c r="L39" s="104" t="s">
        <v>150</v>
      </c>
      <c r="M39" s="51">
        <f t="shared" si="3"/>
        <v>10</v>
      </c>
      <c r="N39" s="104" t="s">
        <v>150</v>
      </c>
      <c r="O39" s="51">
        <f t="shared" si="4"/>
        <v>5</v>
      </c>
      <c r="P39" s="104" t="s">
        <v>150</v>
      </c>
      <c r="Q39" s="51">
        <f t="shared" si="5"/>
        <v>10</v>
      </c>
      <c r="R39" s="52">
        <f t="shared" si="0"/>
        <v>25</v>
      </c>
      <c r="S39" s="105" t="s">
        <v>91</v>
      </c>
      <c r="T39" s="113">
        <f t="shared" si="6"/>
        <v>25</v>
      </c>
      <c r="U39" s="53">
        <f t="shared" si="1"/>
        <v>100</v>
      </c>
      <c r="V39" s="277">
        <f>ROUND(IF(AND(U41=0,U40=0),U39,IF(U41=0,AVERAGE(U39:U40),IF(AND(U41&lt;&gt;0,U40&lt;&gt;0,U39&lt;&gt;0),AVERAGE(U39:U41)))),0)</f>
        <v>100</v>
      </c>
      <c r="W39" s="280" t="str">
        <f>IF(AND(V39&lt;20,V39&gt;=0),"CRÍTICA",IF(AND(V39&lt;41,V39&gt;=20),"BAJA",IF(AND(V39&lt;91,V39&gt;=41),"BUENA",IF(AND(V39&lt;=100,V39&gt;=91),"EXCELENTE",0))))</f>
        <v>EXCELENTE</v>
      </c>
      <c r="X39" s="284"/>
      <c r="Y39" s="283"/>
    </row>
    <row r="40" spans="1:25" ht="30" customHeight="1" x14ac:dyDescent="0.25">
      <c r="A40" s="272"/>
      <c r="B40" s="275"/>
      <c r="C40" s="269"/>
      <c r="D40" s="187" t="s">
        <v>200</v>
      </c>
      <c r="E40" s="22" t="s">
        <v>50</v>
      </c>
      <c r="F40" s="23" t="s">
        <v>53</v>
      </c>
      <c r="G40" s="23" t="s">
        <v>58</v>
      </c>
      <c r="H40" s="22" t="s">
        <v>65</v>
      </c>
      <c r="I40" s="23"/>
      <c r="J40" s="93" t="s">
        <v>74</v>
      </c>
      <c r="K40" s="89">
        <f t="shared" si="2"/>
        <v>50</v>
      </c>
      <c r="L40" s="95" t="s">
        <v>150</v>
      </c>
      <c r="M40" s="46">
        <f t="shared" si="3"/>
        <v>10</v>
      </c>
      <c r="N40" s="95" t="s">
        <v>150</v>
      </c>
      <c r="O40" s="46">
        <f t="shared" si="4"/>
        <v>5</v>
      </c>
      <c r="P40" s="95" t="s">
        <v>150</v>
      </c>
      <c r="Q40" s="46">
        <f t="shared" si="5"/>
        <v>10</v>
      </c>
      <c r="R40" s="47">
        <f t="shared" si="0"/>
        <v>25</v>
      </c>
      <c r="S40" s="101" t="s">
        <v>91</v>
      </c>
      <c r="T40" s="112">
        <f t="shared" si="6"/>
        <v>25</v>
      </c>
      <c r="U40" s="48">
        <f t="shared" si="1"/>
        <v>100</v>
      </c>
      <c r="V40" s="278"/>
      <c r="W40" s="281"/>
      <c r="X40" s="284"/>
      <c r="Y40" s="283"/>
    </row>
    <row r="41" spans="1:25" ht="30" customHeight="1" thickBot="1" x14ac:dyDescent="0.3">
      <c r="A41" s="273"/>
      <c r="B41" s="276"/>
      <c r="C41" s="270"/>
      <c r="D41" s="188" t="s">
        <v>203</v>
      </c>
      <c r="E41" s="98" t="s">
        <v>50</v>
      </c>
      <c r="F41" s="54" t="s">
        <v>53</v>
      </c>
      <c r="G41" s="54" t="s">
        <v>58</v>
      </c>
      <c r="H41" s="98" t="s">
        <v>65</v>
      </c>
      <c r="I41" s="54"/>
      <c r="J41" s="94" t="s">
        <v>74</v>
      </c>
      <c r="K41" s="103">
        <f t="shared" si="2"/>
        <v>50</v>
      </c>
      <c r="L41" s="96" t="s">
        <v>150</v>
      </c>
      <c r="M41" s="55">
        <f t="shared" si="3"/>
        <v>10</v>
      </c>
      <c r="N41" s="96" t="s">
        <v>150</v>
      </c>
      <c r="O41" s="55">
        <f t="shared" si="4"/>
        <v>5</v>
      </c>
      <c r="P41" s="96" t="s">
        <v>150</v>
      </c>
      <c r="Q41" s="55">
        <f t="shared" si="5"/>
        <v>10</v>
      </c>
      <c r="R41" s="56">
        <f t="shared" si="0"/>
        <v>25</v>
      </c>
      <c r="S41" s="102" t="s">
        <v>91</v>
      </c>
      <c r="T41" s="114">
        <f t="shared" si="6"/>
        <v>25</v>
      </c>
      <c r="U41" s="57">
        <f t="shared" si="1"/>
        <v>100</v>
      </c>
      <c r="V41" s="279"/>
      <c r="W41" s="282"/>
      <c r="X41" s="284"/>
      <c r="Y41" s="283"/>
    </row>
    <row r="42" spans="1:25" ht="30" customHeight="1" thickTop="1" x14ac:dyDescent="0.25">
      <c r="A42" s="271">
        <f>'RIESGO INHERENTE'!A24</f>
        <v>13</v>
      </c>
      <c r="B42" s="274" t="str">
        <f>+VLOOKUP(A42,'RIESGO INHERENTE'!A:C,3,0)</f>
        <v>Producto</v>
      </c>
      <c r="C42" s="268" t="str">
        <f>+VLOOKUP(A42,'RIESGO INHERENTE'!A:B,2,0)</f>
        <v>Se creen productos o nuevas líneas de negocio sin un análisis previo de su vulnerabilidad por parte del Oficial de Cumplimiento de impacto frente al riesgo de LA/FT/FPADM.</v>
      </c>
      <c r="D42" s="186" t="s">
        <v>202</v>
      </c>
      <c r="E42" s="97" t="s">
        <v>51</v>
      </c>
      <c r="F42" s="50" t="s">
        <v>53</v>
      </c>
      <c r="G42" s="50" t="s">
        <v>58</v>
      </c>
      <c r="H42" s="97" t="s">
        <v>65</v>
      </c>
      <c r="I42" s="50"/>
      <c r="J42" s="93" t="s">
        <v>74</v>
      </c>
      <c r="K42" s="90">
        <f t="shared" ref="K42:K68" si="7">+IF(ISERROR(VLOOKUP(J42,$J$1:$K$3,2,0)),0,VLOOKUP(J42,$J$1:$K$3,2,0))</f>
        <v>50</v>
      </c>
      <c r="L42" s="104" t="s">
        <v>150</v>
      </c>
      <c r="M42" s="51">
        <f t="shared" ref="M42:M68" si="8">+IF(ISERROR(VLOOKUP(L42,$L$2:$M$3,2,0)),0,VLOOKUP(L42,$L$2:$M$3,2,0))</f>
        <v>10</v>
      </c>
      <c r="N42" s="104" t="s">
        <v>150</v>
      </c>
      <c r="O42" s="51">
        <f t="shared" ref="O42:O68" si="9">+IF(ISERROR(VLOOKUP(N42,$N$2:$O$3,2,0)),0,VLOOKUP(N42,$N$2:$O$3,2,0))</f>
        <v>5</v>
      </c>
      <c r="P42" s="104" t="s">
        <v>150</v>
      </c>
      <c r="Q42" s="51">
        <f t="shared" ref="Q42:Q68" si="10">+IF(ISERROR(VLOOKUP(P42,$P$2:$Q$3,2,0)),0,VLOOKUP(P42,$P$2:$Q$3,2,0))</f>
        <v>10</v>
      </c>
      <c r="R42" s="52">
        <f t="shared" ref="R42:R68" si="11">+Q42+O42+M42</f>
        <v>25</v>
      </c>
      <c r="S42" s="105" t="s">
        <v>91</v>
      </c>
      <c r="T42" s="113">
        <f t="shared" ref="T42:T68" si="12">+IF(ISERROR(VLOOKUP(S42,$S$1:$T$3,2,0)),0,VLOOKUP(S42,$S$1:$T$3,2,0))</f>
        <v>25</v>
      </c>
      <c r="U42" s="53">
        <f t="shared" ref="U42:U68" si="13">+R42+T42+K42</f>
        <v>100</v>
      </c>
      <c r="V42" s="277">
        <f>ROUND(IF(AND(U44=0,U43=0),U42,IF(U44=0,AVERAGE(U42:U43),IF(AND(U44&lt;&gt;0,U43&lt;&gt;0,U42&lt;&gt;0),AVERAGE(U42:U44)))),0)</f>
        <v>100</v>
      </c>
      <c r="W42" s="280" t="str">
        <f>IF(AND(V42&lt;20,V42&gt;=0),"CRÍTICA",IF(AND(V42&lt;41,V42&gt;=20),"BAJA",IF(AND(V42&lt;91,V42&gt;=41),"BUENA",IF(AND(V42&lt;=100,V42&gt;=91),"EXCELENTE",0))))</f>
        <v>EXCELENTE</v>
      </c>
      <c r="X42" s="284"/>
      <c r="Y42" s="283"/>
    </row>
    <row r="43" spans="1:25" ht="30" customHeight="1" x14ac:dyDescent="0.25">
      <c r="A43" s="272"/>
      <c r="B43" s="275"/>
      <c r="C43" s="269"/>
      <c r="D43" s="187" t="s">
        <v>267</v>
      </c>
      <c r="E43" s="22" t="s">
        <v>51</v>
      </c>
      <c r="F43" s="23" t="s">
        <v>53</v>
      </c>
      <c r="G43" s="23" t="s">
        <v>58</v>
      </c>
      <c r="H43" s="22" t="s">
        <v>65</v>
      </c>
      <c r="I43" s="23"/>
      <c r="J43" s="93" t="s">
        <v>74</v>
      </c>
      <c r="K43" s="89">
        <f t="shared" si="7"/>
        <v>50</v>
      </c>
      <c r="L43" s="95" t="s">
        <v>150</v>
      </c>
      <c r="M43" s="46">
        <f t="shared" si="8"/>
        <v>10</v>
      </c>
      <c r="N43" s="95" t="s">
        <v>150</v>
      </c>
      <c r="O43" s="46">
        <f t="shared" si="9"/>
        <v>5</v>
      </c>
      <c r="P43" s="95" t="s">
        <v>150</v>
      </c>
      <c r="Q43" s="46">
        <f t="shared" si="10"/>
        <v>10</v>
      </c>
      <c r="R43" s="47">
        <f t="shared" si="11"/>
        <v>25</v>
      </c>
      <c r="S43" s="101" t="s">
        <v>91</v>
      </c>
      <c r="T43" s="112">
        <f t="shared" si="12"/>
        <v>25</v>
      </c>
      <c r="U43" s="48">
        <f t="shared" si="13"/>
        <v>100</v>
      </c>
      <c r="V43" s="278"/>
      <c r="W43" s="281"/>
      <c r="X43" s="284"/>
      <c r="Y43" s="283"/>
    </row>
    <row r="44" spans="1:25" ht="30" customHeight="1" thickBot="1" x14ac:dyDescent="0.3">
      <c r="A44" s="273"/>
      <c r="B44" s="276"/>
      <c r="C44" s="270"/>
      <c r="D44" s="188" t="s">
        <v>190</v>
      </c>
      <c r="E44" s="98" t="s">
        <v>51</v>
      </c>
      <c r="F44" s="54" t="s">
        <v>54</v>
      </c>
      <c r="G44" s="54" t="s">
        <v>58</v>
      </c>
      <c r="H44" s="98" t="s">
        <v>65</v>
      </c>
      <c r="I44" s="54"/>
      <c r="J44" s="94" t="s">
        <v>74</v>
      </c>
      <c r="K44" s="103">
        <f t="shared" si="7"/>
        <v>50</v>
      </c>
      <c r="L44" s="96" t="s">
        <v>150</v>
      </c>
      <c r="M44" s="55">
        <f t="shared" si="8"/>
        <v>10</v>
      </c>
      <c r="N44" s="96" t="s">
        <v>150</v>
      </c>
      <c r="O44" s="55">
        <f t="shared" si="9"/>
        <v>5</v>
      </c>
      <c r="P44" s="96" t="s">
        <v>150</v>
      </c>
      <c r="Q44" s="55">
        <f t="shared" si="10"/>
        <v>10</v>
      </c>
      <c r="R44" s="56">
        <f t="shared" si="11"/>
        <v>25</v>
      </c>
      <c r="S44" s="102" t="s">
        <v>91</v>
      </c>
      <c r="T44" s="114">
        <f t="shared" si="12"/>
        <v>25</v>
      </c>
      <c r="U44" s="57">
        <f t="shared" si="13"/>
        <v>100</v>
      </c>
      <c r="V44" s="279"/>
      <c r="W44" s="282"/>
      <c r="X44" s="284"/>
      <c r="Y44" s="283"/>
    </row>
    <row r="45" spans="1:25" ht="30" customHeight="1" thickTop="1" x14ac:dyDescent="0.25">
      <c r="A45" s="271">
        <f>'RIESGO INHERENTE'!A25</f>
        <v>14</v>
      </c>
      <c r="B45" s="274" t="str">
        <f>+VLOOKUP(A45,'RIESGO INHERENTE'!A:C,3,0)</f>
        <v>Canal de Distribución</v>
      </c>
      <c r="C45" s="268" t="str">
        <f>+VLOOKUP(A45,'RIESGO INHERENTE'!A:B,2,0)</f>
        <v xml:space="preserve">Utilización de figuras societarias y testaferros para el lavado de activos por parte de una organización delictiva dedicada al tráfico de drogas </v>
      </c>
      <c r="D45" s="186" t="s">
        <v>190</v>
      </c>
      <c r="E45" s="97" t="s">
        <v>51</v>
      </c>
      <c r="F45" s="50" t="s">
        <v>54</v>
      </c>
      <c r="G45" s="50" t="s">
        <v>58</v>
      </c>
      <c r="H45" s="97" t="s">
        <v>65</v>
      </c>
      <c r="I45" s="50"/>
      <c r="J45" s="93" t="s">
        <v>74</v>
      </c>
      <c r="K45" s="90">
        <f t="shared" si="7"/>
        <v>50</v>
      </c>
      <c r="L45" s="104" t="s">
        <v>150</v>
      </c>
      <c r="M45" s="51">
        <f t="shared" si="8"/>
        <v>10</v>
      </c>
      <c r="N45" s="104" t="s">
        <v>150</v>
      </c>
      <c r="O45" s="51">
        <f t="shared" si="9"/>
        <v>5</v>
      </c>
      <c r="P45" s="104" t="s">
        <v>150</v>
      </c>
      <c r="Q45" s="51">
        <f t="shared" si="10"/>
        <v>10</v>
      </c>
      <c r="R45" s="52">
        <f t="shared" si="11"/>
        <v>25</v>
      </c>
      <c r="S45" s="105" t="s">
        <v>91</v>
      </c>
      <c r="T45" s="113">
        <f t="shared" si="12"/>
        <v>25</v>
      </c>
      <c r="U45" s="53">
        <f t="shared" si="13"/>
        <v>100</v>
      </c>
      <c r="V45" s="277">
        <f>ROUND(IF(AND(U47=0,U46=0),U45,IF(U47=0,AVERAGE(U45:U46),IF(AND(U47&lt;&gt;0,U46&lt;&gt;0,U45&lt;&gt;0),AVERAGE(U45:U47)))),0)</f>
        <v>100</v>
      </c>
      <c r="W45" s="280" t="str">
        <f>IF(AND(V45&lt;20,V45&gt;=0),"CRÍTICA",IF(AND(V45&lt;41,V45&gt;=20),"BAJA",IF(AND(V45&lt;91,V45&gt;=41),"BUENA",IF(AND(V45&lt;=100,V45&gt;=91),"EXCELENTE",0))))</f>
        <v>EXCELENTE</v>
      </c>
      <c r="X45" s="284"/>
      <c r="Y45" s="283"/>
    </row>
    <row r="46" spans="1:25" ht="30" customHeight="1" x14ac:dyDescent="0.25">
      <c r="A46" s="272"/>
      <c r="B46" s="275"/>
      <c r="C46" s="269"/>
      <c r="D46" s="187" t="s">
        <v>264</v>
      </c>
      <c r="E46" s="22" t="s">
        <v>51</v>
      </c>
      <c r="F46" s="23" t="s">
        <v>53</v>
      </c>
      <c r="G46" s="23" t="s">
        <v>58</v>
      </c>
      <c r="H46" s="22" t="s">
        <v>65</v>
      </c>
      <c r="I46" s="23"/>
      <c r="J46" s="93" t="s">
        <v>74</v>
      </c>
      <c r="K46" s="89">
        <f t="shared" si="7"/>
        <v>50</v>
      </c>
      <c r="L46" s="95" t="s">
        <v>150</v>
      </c>
      <c r="M46" s="46">
        <f t="shared" si="8"/>
        <v>10</v>
      </c>
      <c r="N46" s="95" t="s">
        <v>150</v>
      </c>
      <c r="O46" s="46">
        <f t="shared" si="9"/>
        <v>5</v>
      </c>
      <c r="P46" s="95" t="s">
        <v>150</v>
      </c>
      <c r="Q46" s="46">
        <f t="shared" si="10"/>
        <v>10</v>
      </c>
      <c r="R46" s="47">
        <f t="shared" si="11"/>
        <v>25</v>
      </c>
      <c r="S46" s="101" t="s">
        <v>91</v>
      </c>
      <c r="T46" s="112">
        <f t="shared" si="12"/>
        <v>25</v>
      </c>
      <c r="U46" s="48">
        <f t="shared" si="13"/>
        <v>100</v>
      </c>
      <c r="V46" s="278"/>
      <c r="W46" s="281"/>
      <c r="X46" s="284"/>
      <c r="Y46" s="283"/>
    </row>
    <row r="47" spans="1:25" ht="30" customHeight="1" thickBot="1" x14ac:dyDescent="0.3">
      <c r="A47" s="273"/>
      <c r="B47" s="276"/>
      <c r="C47" s="270"/>
      <c r="D47" s="188"/>
      <c r="E47" s="98"/>
      <c r="F47" s="54"/>
      <c r="G47" s="54"/>
      <c r="H47" s="98"/>
      <c r="I47" s="54"/>
      <c r="J47" s="94"/>
      <c r="K47" s="103">
        <f t="shared" si="7"/>
        <v>0</v>
      </c>
      <c r="L47" s="96"/>
      <c r="M47" s="55">
        <f t="shared" si="8"/>
        <v>0</v>
      </c>
      <c r="N47" s="96"/>
      <c r="O47" s="55">
        <f t="shared" si="9"/>
        <v>0</v>
      </c>
      <c r="P47" s="96"/>
      <c r="Q47" s="55">
        <f t="shared" si="10"/>
        <v>0</v>
      </c>
      <c r="R47" s="56">
        <f t="shared" si="11"/>
        <v>0</v>
      </c>
      <c r="S47" s="102"/>
      <c r="T47" s="114">
        <f t="shared" si="12"/>
        <v>0</v>
      </c>
      <c r="U47" s="57">
        <f t="shared" si="13"/>
        <v>0</v>
      </c>
      <c r="V47" s="279"/>
      <c r="W47" s="282"/>
      <c r="X47" s="284"/>
      <c r="Y47" s="283"/>
    </row>
    <row r="48" spans="1:25" ht="30" customHeight="1" thickTop="1" x14ac:dyDescent="0.25">
      <c r="A48" s="271">
        <f>'RIESGO INHERENTE'!A26</f>
        <v>15</v>
      </c>
      <c r="B48" s="274" t="str">
        <f>+VLOOKUP(A48,'RIESGO INHERENTE'!A:C,3,0)</f>
        <v>Jurisdicción</v>
      </c>
      <c r="C48" s="268" t="str">
        <f>+VLOOKUP(A48,'RIESGO INHERENTE'!A:B,2,0)</f>
        <v>Lavado de activos a través del traslado transfronterizo de dinero  (recopilación de tipologías regionales de gafilat: 2009 - 2016)</v>
      </c>
      <c r="D48" s="186" t="s">
        <v>263</v>
      </c>
      <c r="E48" s="97" t="s">
        <v>51</v>
      </c>
      <c r="F48" s="50" t="s">
        <v>54</v>
      </c>
      <c r="G48" s="50" t="s">
        <v>58</v>
      </c>
      <c r="H48" s="97" t="s">
        <v>65</v>
      </c>
      <c r="I48" s="50"/>
      <c r="J48" s="93" t="s">
        <v>74</v>
      </c>
      <c r="K48" s="90">
        <f t="shared" si="7"/>
        <v>50</v>
      </c>
      <c r="L48" s="104" t="s">
        <v>150</v>
      </c>
      <c r="M48" s="51">
        <f t="shared" si="8"/>
        <v>10</v>
      </c>
      <c r="N48" s="104" t="s">
        <v>150</v>
      </c>
      <c r="O48" s="51">
        <f t="shared" si="9"/>
        <v>5</v>
      </c>
      <c r="P48" s="104" t="s">
        <v>150</v>
      </c>
      <c r="Q48" s="51">
        <f t="shared" si="10"/>
        <v>10</v>
      </c>
      <c r="R48" s="52">
        <f t="shared" si="11"/>
        <v>25</v>
      </c>
      <c r="S48" s="105" t="s">
        <v>91</v>
      </c>
      <c r="T48" s="113">
        <f t="shared" si="12"/>
        <v>25</v>
      </c>
      <c r="U48" s="53">
        <f t="shared" si="13"/>
        <v>100</v>
      </c>
      <c r="V48" s="277">
        <f>ROUND(IF(AND(U50=0,U49=0),U48,IF(U50=0,AVERAGE(U48:U49),IF(AND(U50&lt;&gt;0,U49&lt;&gt;0,U48&lt;&gt;0),AVERAGE(U48:U50)))),0)</f>
        <v>100</v>
      </c>
      <c r="W48" s="280" t="str">
        <f>IF(AND(V48&lt;20,V48&gt;=0),"CRÍTICA",IF(AND(V48&lt;41,V48&gt;=20),"BAJA",IF(AND(V48&lt;91,V48&gt;=41),"BUENA",IF(AND(V48&lt;=100,V48&gt;=91),"EXCELENTE",0))))</f>
        <v>EXCELENTE</v>
      </c>
      <c r="X48" s="284"/>
      <c r="Y48" s="283"/>
    </row>
    <row r="49" spans="1:25" ht="30" customHeight="1" x14ac:dyDescent="0.25">
      <c r="A49" s="272"/>
      <c r="B49" s="275"/>
      <c r="C49" s="269"/>
      <c r="D49" s="187" t="s">
        <v>201</v>
      </c>
      <c r="E49" s="22" t="s">
        <v>50</v>
      </c>
      <c r="F49" s="23" t="s">
        <v>53</v>
      </c>
      <c r="G49" s="23" t="s">
        <v>58</v>
      </c>
      <c r="H49" s="22" t="s">
        <v>65</v>
      </c>
      <c r="I49" s="23"/>
      <c r="J49" s="93" t="s">
        <v>74</v>
      </c>
      <c r="K49" s="89">
        <f t="shared" si="7"/>
        <v>50</v>
      </c>
      <c r="L49" s="95" t="s">
        <v>150</v>
      </c>
      <c r="M49" s="46">
        <f t="shared" si="8"/>
        <v>10</v>
      </c>
      <c r="N49" s="95" t="s">
        <v>150</v>
      </c>
      <c r="O49" s="46">
        <f t="shared" si="9"/>
        <v>5</v>
      </c>
      <c r="P49" s="95" t="s">
        <v>150</v>
      </c>
      <c r="Q49" s="46">
        <f t="shared" si="10"/>
        <v>10</v>
      </c>
      <c r="R49" s="47">
        <f t="shared" si="11"/>
        <v>25</v>
      </c>
      <c r="S49" s="101" t="s">
        <v>91</v>
      </c>
      <c r="T49" s="112">
        <f t="shared" si="12"/>
        <v>25</v>
      </c>
      <c r="U49" s="48">
        <f t="shared" si="13"/>
        <v>100</v>
      </c>
      <c r="V49" s="278"/>
      <c r="W49" s="281"/>
      <c r="X49" s="284"/>
      <c r="Y49" s="283"/>
    </row>
    <row r="50" spans="1:25" ht="30" customHeight="1" thickBot="1" x14ac:dyDescent="0.3">
      <c r="A50" s="273"/>
      <c r="B50" s="276"/>
      <c r="C50" s="270"/>
      <c r="D50" s="188" t="s">
        <v>190</v>
      </c>
      <c r="E50" s="98" t="s">
        <v>51</v>
      </c>
      <c r="F50" s="54" t="s">
        <v>53</v>
      </c>
      <c r="G50" s="54" t="s">
        <v>58</v>
      </c>
      <c r="H50" s="98" t="s">
        <v>65</v>
      </c>
      <c r="I50" s="54"/>
      <c r="J50" s="94" t="s">
        <v>74</v>
      </c>
      <c r="K50" s="103">
        <f t="shared" si="7"/>
        <v>50</v>
      </c>
      <c r="L50" s="96" t="s">
        <v>150</v>
      </c>
      <c r="M50" s="55">
        <f t="shared" si="8"/>
        <v>10</v>
      </c>
      <c r="N50" s="96" t="s">
        <v>150</v>
      </c>
      <c r="O50" s="55">
        <f t="shared" si="9"/>
        <v>5</v>
      </c>
      <c r="P50" s="96" t="s">
        <v>150</v>
      </c>
      <c r="Q50" s="55">
        <f t="shared" si="10"/>
        <v>10</v>
      </c>
      <c r="R50" s="56">
        <f t="shared" si="11"/>
        <v>25</v>
      </c>
      <c r="S50" s="102" t="s">
        <v>91</v>
      </c>
      <c r="T50" s="114">
        <f t="shared" si="12"/>
        <v>25</v>
      </c>
      <c r="U50" s="57">
        <f t="shared" si="13"/>
        <v>100</v>
      </c>
      <c r="V50" s="279"/>
      <c r="W50" s="282"/>
      <c r="X50" s="284"/>
      <c r="Y50" s="283"/>
    </row>
    <row r="51" spans="1:25" ht="30" customHeight="1" thickTop="1" x14ac:dyDescent="0.25">
      <c r="A51" s="271">
        <f>'RIESGO INHERENTE'!A27</f>
        <v>16</v>
      </c>
      <c r="B51" s="274" t="str">
        <f>+VLOOKUP(A51,'RIESGO INHERENTE'!A:C,3,0)</f>
        <v>Jurisdicción</v>
      </c>
      <c r="C51" s="268" t="str">
        <f>+VLOOKUP(A51,'RIESGO INHERENTE'!A:B,2,0)</f>
        <v>Realizar transacciones directa o indirectamente a países que se encuentren con algún tipo de sanción o bloqueo por autoridades internacionales.</v>
      </c>
      <c r="D51" s="186" t="s">
        <v>203</v>
      </c>
      <c r="E51" s="97" t="s">
        <v>51</v>
      </c>
      <c r="F51" s="50" t="s">
        <v>54</v>
      </c>
      <c r="G51" s="50" t="s">
        <v>58</v>
      </c>
      <c r="H51" s="97" t="s">
        <v>65</v>
      </c>
      <c r="I51" s="50"/>
      <c r="J51" s="93" t="s">
        <v>74</v>
      </c>
      <c r="K51" s="90">
        <f t="shared" si="7"/>
        <v>50</v>
      </c>
      <c r="L51" s="104" t="s">
        <v>150</v>
      </c>
      <c r="M51" s="51">
        <f t="shared" si="8"/>
        <v>10</v>
      </c>
      <c r="N51" s="104" t="s">
        <v>150</v>
      </c>
      <c r="O51" s="51">
        <f t="shared" si="9"/>
        <v>5</v>
      </c>
      <c r="P51" s="104" t="s">
        <v>150</v>
      </c>
      <c r="Q51" s="51">
        <f t="shared" si="10"/>
        <v>10</v>
      </c>
      <c r="R51" s="52">
        <f t="shared" si="11"/>
        <v>25</v>
      </c>
      <c r="S51" s="105" t="s">
        <v>91</v>
      </c>
      <c r="T51" s="113">
        <f t="shared" si="12"/>
        <v>25</v>
      </c>
      <c r="U51" s="53">
        <f t="shared" si="13"/>
        <v>100</v>
      </c>
      <c r="V51" s="277">
        <f>ROUND(IF(AND(U53=0,U52=0),U51,IF(U53=0,AVERAGE(U51:U52),IF(AND(U53&lt;&gt;0,U52&lt;&gt;0,U51&lt;&gt;0),AVERAGE(U51:U53)))),0)</f>
        <v>100</v>
      </c>
      <c r="W51" s="280" t="str">
        <f>IF(AND(V51&lt;20,V51&gt;=0),"CRÍTICA",IF(AND(V51&lt;41,V51&gt;=20),"BAJA",IF(AND(V51&lt;91,V51&gt;=41),"BUENA",IF(AND(V51&lt;=100,V51&gt;=91),"EXCELENTE",0))))</f>
        <v>EXCELENTE</v>
      </c>
      <c r="X51" s="284"/>
      <c r="Y51" s="283"/>
    </row>
    <row r="52" spans="1:25" ht="30" customHeight="1" x14ac:dyDescent="0.25">
      <c r="A52" s="272"/>
      <c r="B52" s="275"/>
      <c r="C52" s="269"/>
      <c r="D52" s="187" t="s">
        <v>190</v>
      </c>
      <c r="E52" s="22" t="s">
        <v>51</v>
      </c>
      <c r="F52" s="23" t="s">
        <v>54</v>
      </c>
      <c r="G52" s="23" t="s">
        <v>58</v>
      </c>
      <c r="H52" s="22" t="s">
        <v>65</v>
      </c>
      <c r="I52" s="23"/>
      <c r="J52" s="93" t="s">
        <v>74</v>
      </c>
      <c r="K52" s="89">
        <f t="shared" si="7"/>
        <v>50</v>
      </c>
      <c r="L52" s="95" t="s">
        <v>150</v>
      </c>
      <c r="M52" s="46">
        <f t="shared" si="8"/>
        <v>10</v>
      </c>
      <c r="N52" s="95" t="s">
        <v>150</v>
      </c>
      <c r="O52" s="46">
        <f t="shared" si="9"/>
        <v>5</v>
      </c>
      <c r="P52" s="95" t="s">
        <v>150</v>
      </c>
      <c r="Q52" s="46">
        <f t="shared" si="10"/>
        <v>10</v>
      </c>
      <c r="R52" s="47">
        <f t="shared" si="11"/>
        <v>25</v>
      </c>
      <c r="S52" s="101" t="s">
        <v>91</v>
      </c>
      <c r="T52" s="112">
        <f t="shared" si="12"/>
        <v>25</v>
      </c>
      <c r="U52" s="48">
        <f t="shared" si="13"/>
        <v>100</v>
      </c>
      <c r="V52" s="278"/>
      <c r="W52" s="281"/>
      <c r="X52" s="284"/>
      <c r="Y52" s="283"/>
    </row>
    <row r="53" spans="1:25" ht="30" customHeight="1" thickBot="1" x14ac:dyDescent="0.3">
      <c r="A53" s="273"/>
      <c r="B53" s="276"/>
      <c r="C53" s="270"/>
      <c r="D53" s="188" t="s">
        <v>204</v>
      </c>
      <c r="E53" s="98" t="s">
        <v>51</v>
      </c>
      <c r="F53" s="54" t="s">
        <v>53</v>
      </c>
      <c r="G53" s="54" t="s">
        <v>58</v>
      </c>
      <c r="H53" s="98" t="s">
        <v>65</v>
      </c>
      <c r="I53" s="54"/>
      <c r="J53" s="94" t="s">
        <v>74</v>
      </c>
      <c r="K53" s="103">
        <f t="shared" si="7"/>
        <v>50</v>
      </c>
      <c r="L53" s="96" t="s">
        <v>150</v>
      </c>
      <c r="M53" s="55">
        <f t="shared" si="8"/>
        <v>10</v>
      </c>
      <c r="N53" s="96" t="s">
        <v>150</v>
      </c>
      <c r="O53" s="55">
        <f t="shared" si="9"/>
        <v>5</v>
      </c>
      <c r="P53" s="96" t="s">
        <v>150</v>
      </c>
      <c r="Q53" s="55">
        <f t="shared" si="10"/>
        <v>10</v>
      </c>
      <c r="R53" s="56">
        <f t="shared" si="11"/>
        <v>25</v>
      </c>
      <c r="S53" s="102" t="s">
        <v>91</v>
      </c>
      <c r="T53" s="114">
        <f t="shared" si="12"/>
        <v>25</v>
      </c>
      <c r="U53" s="57">
        <f t="shared" si="13"/>
        <v>100</v>
      </c>
      <c r="V53" s="279"/>
      <c r="W53" s="282"/>
      <c r="X53" s="284"/>
      <c r="Y53" s="283"/>
    </row>
    <row r="54" spans="1:25" ht="30" customHeight="1" thickTop="1" x14ac:dyDescent="0.25">
      <c r="A54" s="271">
        <f>'RIESGO INHERENTE'!A28</f>
        <v>17</v>
      </c>
      <c r="B54" s="274" t="str">
        <f>+VLOOKUP(A54,'RIESGO INHERENTE'!A:C,3,0)</f>
        <v>Jurisdicción</v>
      </c>
      <c r="C54" s="268" t="str">
        <f>+VLOOKUP(A54,'RIESGO INHERENTE'!A:B,2,0)</f>
        <v>Se vinculen clientes ubicados en jurisdicciones consideradas como de Alto Riesgo</v>
      </c>
      <c r="D54" s="186" t="s">
        <v>205</v>
      </c>
      <c r="E54" s="97" t="s">
        <v>51</v>
      </c>
      <c r="F54" s="50" t="s">
        <v>53</v>
      </c>
      <c r="G54" s="50" t="s">
        <v>58</v>
      </c>
      <c r="H54" s="97" t="s">
        <v>65</v>
      </c>
      <c r="I54" s="50"/>
      <c r="J54" s="93" t="s">
        <v>74</v>
      </c>
      <c r="K54" s="90">
        <f t="shared" si="7"/>
        <v>50</v>
      </c>
      <c r="L54" s="104" t="s">
        <v>150</v>
      </c>
      <c r="M54" s="51">
        <f t="shared" si="8"/>
        <v>10</v>
      </c>
      <c r="N54" s="104" t="s">
        <v>150</v>
      </c>
      <c r="O54" s="51">
        <f t="shared" si="9"/>
        <v>5</v>
      </c>
      <c r="P54" s="104" t="s">
        <v>150</v>
      </c>
      <c r="Q54" s="51">
        <f t="shared" si="10"/>
        <v>10</v>
      </c>
      <c r="R54" s="52">
        <f t="shared" si="11"/>
        <v>25</v>
      </c>
      <c r="S54" s="105" t="s">
        <v>91</v>
      </c>
      <c r="T54" s="113">
        <f t="shared" si="12"/>
        <v>25</v>
      </c>
      <c r="U54" s="53">
        <f t="shared" si="13"/>
        <v>100</v>
      </c>
      <c r="V54" s="277">
        <f>ROUND(IF(AND(U56=0,U55=0),U54,IF(U56=0,AVERAGE(U54:U55),IF(AND(U56&lt;&gt;0,U55&lt;&gt;0,U54&lt;&gt;0),AVERAGE(U54:U56)))),0)</f>
        <v>100</v>
      </c>
      <c r="W54" s="280" t="str">
        <f>IF(AND(V54&lt;20,V54&gt;=0),"CRÍTICA",IF(AND(V54&lt;41,V54&gt;=20),"BAJA",IF(AND(V54&lt;91,V54&gt;=41),"BUENA",IF(AND(V54&lt;=100,V54&gt;=91),"EXCELENTE",0))))</f>
        <v>EXCELENTE</v>
      </c>
      <c r="X54" s="284"/>
      <c r="Y54" s="283"/>
    </row>
    <row r="55" spans="1:25" ht="30" customHeight="1" x14ac:dyDescent="0.25">
      <c r="A55" s="272"/>
      <c r="B55" s="275"/>
      <c r="C55" s="269"/>
      <c r="D55" s="187" t="s">
        <v>206</v>
      </c>
      <c r="E55" s="22" t="s">
        <v>50</v>
      </c>
      <c r="F55" s="23" t="s">
        <v>54</v>
      </c>
      <c r="G55" s="23" t="s">
        <v>58</v>
      </c>
      <c r="H55" s="22" t="s">
        <v>65</v>
      </c>
      <c r="I55" s="23"/>
      <c r="J55" s="93" t="s">
        <v>74</v>
      </c>
      <c r="K55" s="89">
        <f t="shared" si="7"/>
        <v>50</v>
      </c>
      <c r="L55" s="95" t="s">
        <v>150</v>
      </c>
      <c r="M55" s="46">
        <f t="shared" si="8"/>
        <v>10</v>
      </c>
      <c r="N55" s="95" t="s">
        <v>150</v>
      </c>
      <c r="O55" s="46">
        <f t="shared" si="9"/>
        <v>5</v>
      </c>
      <c r="P55" s="95" t="s">
        <v>150</v>
      </c>
      <c r="Q55" s="46">
        <f t="shared" si="10"/>
        <v>10</v>
      </c>
      <c r="R55" s="47">
        <f t="shared" si="11"/>
        <v>25</v>
      </c>
      <c r="S55" s="101" t="s">
        <v>91</v>
      </c>
      <c r="T55" s="112">
        <f t="shared" si="12"/>
        <v>25</v>
      </c>
      <c r="U55" s="48">
        <f t="shared" si="13"/>
        <v>100</v>
      </c>
      <c r="V55" s="278"/>
      <c r="W55" s="281"/>
      <c r="X55" s="284"/>
      <c r="Y55" s="283"/>
    </row>
    <row r="56" spans="1:25" ht="30" customHeight="1" thickBot="1" x14ac:dyDescent="0.3">
      <c r="A56" s="273"/>
      <c r="B56" s="276"/>
      <c r="C56" s="270"/>
      <c r="D56" s="188"/>
      <c r="E56" s="98"/>
      <c r="F56" s="54"/>
      <c r="G56" s="54" t="s">
        <v>58</v>
      </c>
      <c r="H56" s="98" t="s">
        <v>65</v>
      </c>
      <c r="I56" s="54"/>
      <c r="J56" s="94" t="s">
        <v>74</v>
      </c>
      <c r="K56" s="103">
        <f t="shared" si="7"/>
        <v>50</v>
      </c>
      <c r="L56" s="96" t="s">
        <v>150</v>
      </c>
      <c r="M56" s="55">
        <f t="shared" si="8"/>
        <v>10</v>
      </c>
      <c r="N56" s="96" t="s">
        <v>150</v>
      </c>
      <c r="O56" s="55">
        <f t="shared" si="9"/>
        <v>5</v>
      </c>
      <c r="P56" s="96" t="s">
        <v>150</v>
      </c>
      <c r="Q56" s="55">
        <f t="shared" si="10"/>
        <v>10</v>
      </c>
      <c r="R56" s="56">
        <f t="shared" si="11"/>
        <v>25</v>
      </c>
      <c r="S56" s="102" t="s">
        <v>91</v>
      </c>
      <c r="T56" s="114">
        <f t="shared" si="12"/>
        <v>25</v>
      </c>
      <c r="U56" s="57">
        <f t="shared" si="13"/>
        <v>100</v>
      </c>
      <c r="V56" s="279"/>
      <c r="W56" s="282"/>
      <c r="X56" s="284"/>
      <c r="Y56" s="283"/>
    </row>
    <row r="57" spans="1:25" ht="30" customHeight="1" thickTop="1" x14ac:dyDescent="0.25">
      <c r="A57" s="271">
        <f>'RIESGO INHERENTE'!A29</f>
        <v>18</v>
      </c>
      <c r="B57" s="274" t="str">
        <f>+VLOOKUP(A57,'RIESGO INHERENTE'!A:C,3,0)</f>
        <v>Jurisdicción</v>
      </c>
      <c r="C57" s="268" t="str">
        <f>+VLOOKUP(A57,'RIESGO INHERENTE'!A:B,2,0)</f>
        <v>Utilización de empresas de fachada para apoyar las actividades de lavado de activos – paraísos fiscales. (recopilación de tipologías regionales de gafilat: 2009 - 2016)</v>
      </c>
      <c r="D57" s="186" t="s">
        <v>190</v>
      </c>
      <c r="E57" s="97" t="s">
        <v>51</v>
      </c>
      <c r="F57" s="50" t="s">
        <v>53</v>
      </c>
      <c r="G57" s="50" t="s">
        <v>58</v>
      </c>
      <c r="H57" s="97" t="s">
        <v>65</v>
      </c>
      <c r="I57" s="50"/>
      <c r="J57" s="93" t="s">
        <v>74</v>
      </c>
      <c r="K57" s="90">
        <f t="shared" si="7"/>
        <v>50</v>
      </c>
      <c r="L57" s="104" t="s">
        <v>150</v>
      </c>
      <c r="M57" s="51">
        <f t="shared" si="8"/>
        <v>10</v>
      </c>
      <c r="N57" s="104" t="s">
        <v>150</v>
      </c>
      <c r="O57" s="51">
        <f t="shared" si="9"/>
        <v>5</v>
      </c>
      <c r="P57" s="104" t="s">
        <v>150</v>
      </c>
      <c r="Q57" s="51">
        <f t="shared" si="10"/>
        <v>10</v>
      </c>
      <c r="R57" s="52">
        <f t="shared" si="11"/>
        <v>25</v>
      </c>
      <c r="S57" s="105" t="s">
        <v>91</v>
      </c>
      <c r="T57" s="113">
        <f t="shared" si="12"/>
        <v>25</v>
      </c>
      <c r="U57" s="53">
        <f t="shared" si="13"/>
        <v>100</v>
      </c>
      <c r="V57" s="277">
        <f>ROUND(IF(AND(U59=0,U58=0),U57,IF(U59=0,AVERAGE(U57:U58),IF(AND(U59&lt;&gt;0,U58&lt;&gt;0,U57&lt;&gt;0),AVERAGE(U57:U59)))),0)</f>
        <v>100</v>
      </c>
      <c r="W57" s="280" t="str">
        <f>IF(AND(V57&lt;20,V57&gt;=0),"CRÍTICA",IF(AND(V57&lt;41,V57&gt;=20),"BAJA",IF(AND(V57&lt;91,V57&gt;=41),"BUENA",IF(AND(V57&lt;=100,V57&gt;=91),"EXCELENTE",0))))</f>
        <v>EXCELENTE</v>
      </c>
      <c r="X57" s="284"/>
      <c r="Y57" s="283"/>
    </row>
    <row r="58" spans="1:25" ht="30" customHeight="1" x14ac:dyDescent="0.25">
      <c r="A58" s="272"/>
      <c r="B58" s="275"/>
      <c r="C58" s="269"/>
      <c r="D58" s="187" t="s">
        <v>191</v>
      </c>
      <c r="E58" s="22" t="s">
        <v>51</v>
      </c>
      <c r="F58" s="23" t="s">
        <v>54</v>
      </c>
      <c r="G58" s="23" t="s">
        <v>58</v>
      </c>
      <c r="H58" s="22" t="s">
        <v>65</v>
      </c>
      <c r="I58" s="23"/>
      <c r="J58" s="93" t="s">
        <v>74</v>
      </c>
      <c r="K58" s="89">
        <f t="shared" si="7"/>
        <v>50</v>
      </c>
      <c r="L58" s="95" t="s">
        <v>150</v>
      </c>
      <c r="M58" s="46">
        <f t="shared" si="8"/>
        <v>10</v>
      </c>
      <c r="N58" s="95" t="s">
        <v>150</v>
      </c>
      <c r="O58" s="46">
        <f t="shared" si="9"/>
        <v>5</v>
      </c>
      <c r="P58" s="95" t="s">
        <v>150</v>
      </c>
      <c r="Q58" s="46">
        <f t="shared" si="10"/>
        <v>10</v>
      </c>
      <c r="R58" s="47">
        <f t="shared" si="11"/>
        <v>25</v>
      </c>
      <c r="S58" s="101" t="s">
        <v>91</v>
      </c>
      <c r="T58" s="112">
        <f t="shared" si="12"/>
        <v>25</v>
      </c>
      <c r="U58" s="48">
        <f t="shared" si="13"/>
        <v>100</v>
      </c>
      <c r="V58" s="278"/>
      <c r="W58" s="281"/>
      <c r="X58" s="284"/>
      <c r="Y58" s="283"/>
    </row>
    <row r="59" spans="1:25" ht="30" customHeight="1" thickBot="1" x14ac:dyDescent="0.3">
      <c r="A59" s="273"/>
      <c r="B59" s="276"/>
      <c r="C59" s="270"/>
      <c r="D59" s="188"/>
      <c r="E59" s="98"/>
      <c r="F59" s="54"/>
      <c r="G59" s="54"/>
      <c r="H59" s="98"/>
      <c r="I59" s="54"/>
      <c r="J59" s="94"/>
      <c r="K59" s="103">
        <f t="shared" si="7"/>
        <v>0</v>
      </c>
      <c r="L59" s="96"/>
      <c r="M59" s="55">
        <f t="shared" si="8"/>
        <v>0</v>
      </c>
      <c r="N59" s="96"/>
      <c r="O59" s="55">
        <f t="shared" si="9"/>
        <v>0</v>
      </c>
      <c r="P59" s="96"/>
      <c r="Q59" s="55">
        <f t="shared" si="10"/>
        <v>0</v>
      </c>
      <c r="R59" s="56">
        <f t="shared" si="11"/>
        <v>0</v>
      </c>
      <c r="S59" s="102"/>
      <c r="T59" s="114">
        <f t="shared" si="12"/>
        <v>0</v>
      </c>
      <c r="U59" s="57">
        <f t="shared" si="13"/>
        <v>0</v>
      </c>
      <c r="V59" s="279"/>
      <c r="W59" s="282"/>
      <c r="X59" s="284"/>
      <c r="Y59" s="283"/>
    </row>
    <row r="60" spans="1:25" ht="30" customHeight="1" thickTop="1" x14ac:dyDescent="0.25">
      <c r="A60" s="271">
        <f>'RIESGO INHERENTE'!A30</f>
        <v>19</v>
      </c>
      <c r="B60" s="274" t="str">
        <f>+VLOOKUP(A60,'RIESGO INHERENTE'!A:C,3,0)</f>
        <v>Producto</v>
      </c>
      <c r="C60" s="268" t="str">
        <f>+VLOOKUP(A60,'RIESGO INHERENTE'!A:B,2,0)</f>
        <v>Fiducia inmobiliaria recursos ilícitos del constructor (recopilación de tipologías regionales de gafilat: 2009 - 2016)</v>
      </c>
      <c r="D60" s="186" t="s">
        <v>190</v>
      </c>
      <c r="E60" s="97" t="s">
        <v>51</v>
      </c>
      <c r="F60" s="50" t="s">
        <v>53</v>
      </c>
      <c r="G60" s="50" t="s">
        <v>58</v>
      </c>
      <c r="H60" s="97" t="s">
        <v>65</v>
      </c>
      <c r="I60" s="50"/>
      <c r="J60" s="93" t="s">
        <v>74</v>
      </c>
      <c r="K60" s="90">
        <f t="shared" si="7"/>
        <v>50</v>
      </c>
      <c r="L60" s="104" t="s">
        <v>150</v>
      </c>
      <c r="M60" s="51">
        <f t="shared" si="8"/>
        <v>10</v>
      </c>
      <c r="N60" s="104" t="s">
        <v>150</v>
      </c>
      <c r="O60" s="51">
        <f t="shared" si="9"/>
        <v>5</v>
      </c>
      <c r="P60" s="104" t="s">
        <v>150</v>
      </c>
      <c r="Q60" s="51">
        <f t="shared" si="10"/>
        <v>10</v>
      </c>
      <c r="R60" s="52">
        <f t="shared" si="11"/>
        <v>25</v>
      </c>
      <c r="S60" s="105" t="s">
        <v>91</v>
      </c>
      <c r="T60" s="113">
        <f t="shared" si="12"/>
        <v>25</v>
      </c>
      <c r="U60" s="53">
        <f t="shared" si="13"/>
        <v>100</v>
      </c>
      <c r="V60" s="277">
        <f>ROUND(IF(AND(U62=0,U61=0),U60,IF(U62=0,AVERAGE(U60:U61),IF(AND(U62&lt;&gt;0,U61&lt;&gt;0,U60&lt;&gt;0),AVERAGE(U60:U62)))),0)</f>
        <v>100</v>
      </c>
      <c r="W60" s="280" t="str">
        <f>IF(AND(V60&lt;20,V60&gt;=0),"CRÍTICA",IF(AND(V60&lt;41,V60&gt;=20),"BAJA",IF(AND(V60&lt;91,V60&gt;=41),"BUENA",IF(AND(V60&lt;=100,V60&gt;=91),"EXCELENTE",0))))</f>
        <v>EXCELENTE</v>
      </c>
      <c r="X60" s="284"/>
      <c r="Y60" s="283"/>
    </row>
    <row r="61" spans="1:25" ht="30" customHeight="1" x14ac:dyDescent="0.25">
      <c r="A61" s="272"/>
      <c r="B61" s="275"/>
      <c r="C61" s="269"/>
      <c r="D61" s="187" t="s">
        <v>201</v>
      </c>
      <c r="E61" s="22" t="s">
        <v>50</v>
      </c>
      <c r="F61" s="23" t="s">
        <v>54</v>
      </c>
      <c r="G61" s="23" t="s">
        <v>58</v>
      </c>
      <c r="H61" s="22" t="s">
        <v>65</v>
      </c>
      <c r="I61" s="23"/>
      <c r="J61" s="93" t="s">
        <v>74</v>
      </c>
      <c r="K61" s="89">
        <f t="shared" si="7"/>
        <v>50</v>
      </c>
      <c r="L61" s="95" t="s">
        <v>150</v>
      </c>
      <c r="M61" s="46">
        <f t="shared" si="8"/>
        <v>10</v>
      </c>
      <c r="N61" s="95" t="s">
        <v>150</v>
      </c>
      <c r="O61" s="46">
        <f t="shared" si="9"/>
        <v>5</v>
      </c>
      <c r="P61" s="95" t="s">
        <v>150</v>
      </c>
      <c r="Q61" s="46">
        <f t="shared" si="10"/>
        <v>10</v>
      </c>
      <c r="R61" s="47">
        <f t="shared" si="11"/>
        <v>25</v>
      </c>
      <c r="S61" s="101" t="s">
        <v>91</v>
      </c>
      <c r="T61" s="112">
        <f t="shared" si="12"/>
        <v>25</v>
      </c>
      <c r="U61" s="48">
        <f t="shared" si="13"/>
        <v>100</v>
      </c>
      <c r="V61" s="278"/>
      <c r="W61" s="281"/>
      <c r="X61" s="284"/>
      <c r="Y61" s="283"/>
    </row>
    <row r="62" spans="1:25" ht="30" customHeight="1" thickBot="1" x14ac:dyDescent="0.3">
      <c r="A62" s="273"/>
      <c r="B62" s="276"/>
      <c r="C62" s="270"/>
      <c r="D62" s="188"/>
      <c r="E62" s="98"/>
      <c r="F62" s="54"/>
      <c r="G62" s="54"/>
      <c r="H62" s="98"/>
      <c r="I62" s="54"/>
      <c r="J62" s="94"/>
      <c r="K62" s="103">
        <f t="shared" si="7"/>
        <v>0</v>
      </c>
      <c r="L62" s="96"/>
      <c r="M62" s="55">
        <f t="shared" si="8"/>
        <v>0</v>
      </c>
      <c r="N62" s="96"/>
      <c r="O62" s="55">
        <f t="shared" si="9"/>
        <v>0</v>
      </c>
      <c r="P62" s="96"/>
      <c r="Q62" s="55">
        <f t="shared" si="10"/>
        <v>0</v>
      </c>
      <c r="R62" s="56">
        <f t="shared" si="11"/>
        <v>0</v>
      </c>
      <c r="S62" s="102"/>
      <c r="T62" s="114">
        <f t="shared" si="12"/>
        <v>0</v>
      </c>
      <c r="U62" s="57">
        <f t="shared" si="13"/>
        <v>0</v>
      </c>
      <c r="V62" s="279"/>
      <c r="W62" s="282"/>
      <c r="X62" s="284"/>
      <c r="Y62" s="283"/>
    </row>
    <row r="63" spans="1:25" ht="30" customHeight="1" thickTop="1" x14ac:dyDescent="0.25">
      <c r="A63" s="271">
        <f>'RIESGO INHERENTE'!A31</f>
        <v>20</v>
      </c>
      <c r="B63" s="274" t="str">
        <f>+VLOOKUP(A63,'RIESGO INHERENTE'!A:C,3,0)</f>
        <v>Contrapartes (Clientes, Proveedores, Empleados, Accionistas, Vinculados) y Partes interesadas.</v>
      </c>
      <c r="C63" s="268" t="str">
        <f>+VLOOKUP(A63,'RIESGO INHERENTE'!A:B,2,0)</f>
        <v>Invertir en activos que hayan sido adquiridos con dinero proveniente de actividades de LA/FT/FPADM.</v>
      </c>
      <c r="D63" s="186" t="s">
        <v>201</v>
      </c>
      <c r="E63" s="97" t="s">
        <v>50</v>
      </c>
      <c r="F63" s="50" t="s">
        <v>54</v>
      </c>
      <c r="G63" s="50" t="s">
        <v>58</v>
      </c>
      <c r="H63" s="97" t="s">
        <v>65</v>
      </c>
      <c r="I63" s="50"/>
      <c r="J63" s="93" t="s">
        <v>74</v>
      </c>
      <c r="K63" s="90">
        <f t="shared" si="7"/>
        <v>50</v>
      </c>
      <c r="L63" s="104" t="s">
        <v>150</v>
      </c>
      <c r="M63" s="51">
        <f t="shared" si="8"/>
        <v>10</v>
      </c>
      <c r="N63" s="104" t="s">
        <v>150</v>
      </c>
      <c r="O63" s="51">
        <f t="shared" si="9"/>
        <v>5</v>
      </c>
      <c r="P63" s="104" t="s">
        <v>150</v>
      </c>
      <c r="Q63" s="51">
        <f t="shared" si="10"/>
        <v>10</v>
      </c>
      <c r="R63" s="52">
        <f t="shared" si="11"/>
        <v>25</v>
      </c>
      <c r="S63" s="105" t="s">
        <v>91</v>
      </c>
      <c r="T63" s="113">
        <f t="shared" si="12"/>
        <v>25</v>
      </c>
      <c r="U63" s="53">
        <f t="shared" si="13"/>
        <v>100</v>
      </c>
      <c r="V63" s="277">
        <f>ROUND(IF(AND(U65=0,U64=0),U63,IF(U65=0,AVERAGE(U63:U64),IF(AND(U65&lt;&gt;0,U64&lt;&gt;0,U63&lt;&gt;0),AVERAGE(U63:U65)))),0)</f>
        <v>100</v>
      </c>
      <c r="W63" s="280" t="str">
        <f>IF(AND(V63&lt;20,V63&gt;=0),"CRÍTICA",IF(AND(V63&lt;41,V63&gt;=20),"BAJA",IF(AND(V63&lt;91,V63&gt;=41),"BUENA",IF(AND(V63&lt;=100,V63&gt;=91),"EXCELENTE",0))))</f>
        <v>EXCELENTE</v>
      </c>
      <c r="X63" s="284"/>
      <c r="Y63" s="283"/>
    </row>
    <row r="64" spans="1:25" ht="30" customHeight="1" x14ac:dyDescent="0.25">
      <c r="A64" s="272"/>
      <c r="B64" s="275"/>
      <c r="C64" s="269"/>
      <c r="D64" s="187" t="s">
        <v>191</v>
      </c>
      <c r="E64" s="22" t="s">
        <v>51</v>
      </c>
      <c r="F64" s="23" t="s">
        <v>54</v>
      </c>
      <c r="G64" s="23" t="s">
        <v>58</v>
      </c>
      <c r="H64" s="22" t="s">
        <v>65</v>
      </c>
      <c r="I64" s="23"/>
      <c r="J64" s="93" t="s">
        <v>74</v>
      </c>
      <c r="K64" s="89">
        <f t="shared" si="7"/>
        <v>50</v>
      </c>
      <c r="L64" s="95" t="s">
        <v>150</v>
      </c>
      <c r="M64" s="46">
        <f t="shared" si="8"/>
        <v>10</v>
      </c>
      <c r="N64" s="95" t="s">
        <v>150</v>
      </c>
      <c r="O64" s="46">
        <f t="shared" si="9"/>
        <v>5</v>
      </c>
      <c r="P64" s="95" t="s">
        <v>150</v>
      </c>
      <c r="Q64" s="46">
        <f t="shared" si="10"/>
        <v>10</v>
      </c>
      <c r="R64" s="47">
        <f t="shared" si="11"/>
        <v>25</v>
      </c>
      <c r="S64" s="101" t="s">
        <v>91</v>
      </c>
      <c r="T64" s="112">
        <f t="shared" si="12"/>
        <v>25</v>
      </c>
      <c r="U64" s="48">
        <f t="shared" si="13"/>
        <v>100</v>
      </c>
      <c r="V64" s="278"/>
      <c r="W64" s="281"/>
      <c r="X64" s="284"/>
      <c r="Y64" s="283"/>
    </row>
    <row r="65" spans="1:25" ht="30" customHeight="1" thickBot="1" x14ac:dyDescent="0.3">
      <c r="A65" s="273"/>
      <c r="B65" s="276"/>
      <c r="C65" s="270"/>
      <c r="D65" s="188" t="s">
        <v>190</v>
      </c>
      <c r="E65" s="98" t="s">
        <v>51</v>
      </c>
      <c r="F65" s="54" t="s">
        <v>53</v>
      </c>
      <c r="G65" s="54" t="s">
        <v>58</v>
      </c>
      <c r="H65" s="98" t="s">
        <v>65</v>
      </c>
      <c r="I65" s="54"/>
      <c r="J65" s="94" t="s">
        <v>74</v>
      </c>
      <c r="K65" s="103">
        <f t="shared" si="7"/>
        <v>50</v>
      </c>
      <c r="L65" s="96" t="s">
        <v>150</v>
      </c>
      <c r="M65" s="55">
        <f t="shared" si="8"/>
        <v>10</v>
      </c>
      <c r="N65" s="96" t="s">
        <v>150</v>
      </c>
      <c r="O65" s="55">
        <f t="shared" si="9"/>
        <v>5</v>
      </c>
      <c r="P65" s="96" t="s">
        <v>150</v>
      </c>
      <c r="Q65" s="55">
        <f t="shared" si="10"/>
        <v>10</v>
      </c>
      <c r="R65" s="56">
        <f t="shared" si="11"/>
        <v>25</v>
      </c>
      <c r="S65" s="102" t="s">
        <v>91</v>
      </c>
      <c r="T65" s="114">
        <f t="shared" si="12"/>
        <v>25</v>
      </c>
      <c r="U65" s="57">
        <f t="shared" si="13"/>
        <v>100</v>
      </c>
      <c r="V65" s="279"/>
      <c r="W65" s="282"/>
      <c r="X65" s="284"/>
      <c r="Y65" s="283"/>
    </row>
    <row r="66" spans="1:25" ht="30" customHeight="1" thickTop="1" x14ac:dyDescent="0.25">
      <c r="A66" s="271">
        <f>'RIESGO INHERENTE'!A32</f>
        <v>21</v>
      </c>
      <c r="B66" s="274" t="str">
        <f>+VLOOKUP(A66,'RIESGO INHERENTE'!A:C,3,0)</f>
        <v>Producto</v>
      </c>
      <c r="C66" s="268" t="str">
        <f>+VLOOKUP(A66,'RIESGO INHERENTE'!A:B,2,0)</f>
        <v>Lavado de activos a través de negocios de fachada y el uso de testaferros (recopilación de tipologías regionales de gafilat: 2009 - 2016)</v>
      </c>
      <c r="D66" s="186" t="s">
        <v>190</v>
      </c>
      <c r="E66" s="97" t="s">
        <v>51</v>
      </c>
      <c r="F66" s="50" t="s">
        <v>53</v>
      </c>
      <c r="G66" s="50" t="s">
        <v>58</v>
      </c>
      <c r="H66" s="97" t="s">
        <v>65</v>
      </c>
      <c r="I66" s="50"/>
      <c r="J66" s="93" t="s">
        <v>74</v>
      </c>
      <c r="K66" s="90">
        <f t="shared" si="7"/>
        <v>50</v>
      </c>
      <c r="L66" s="104" t="s">
        <v>150</v>
      </c>
      <c r="M66" s="51">
        <f t="shared" si="8"/>
        <v>10</v>
      </c>
      <c r="N66" s="104" t="s">
        <v>150</v>
      </c>
      <c r="O66" s="51">
        <f t="shared" si="9"/>
        <v>5</v>
      </c>
      <c r="P66" s="104" t="s">
        <v>150</v>
      </c>
      <c r="Q66" s="51">
        <f t="shared" si="10"/>
        <v>10</v>
      </c>
      <c r="R66" s="52">
        <f t="shared" si="11"/>
        <v>25</v>
      </c>
      <c r="S66" s="105" t="s">
        <v>91</v>
      </c>
      <c r="T66" s="113">
        <f t="shared" si="12"/>
        <v>25</v>
      </c>
      <c r="U66" s="53">
        <f t="shared" si="13"/>
        <v>100</v>
      </c>
      <c r="V66" s="277">
        <f>ROUND(IF(AND(U68=0,U67=0),U66,IF(U68=0,AVERAGE(U66:U67),IF(AND(U68&lt;&gt;0,U67&lt;&gt;0,U66&lt;&gt;0),AVERAGE(U66:U68)))),0)</f>
        <v>100</v>
      </c>
      <c r="W66" s="280" t="str">
        <f>IF(AND(V66&lt;20,V66&gt;=0),"CRÍTICA",IF(AND(V66&lt;41,V66&gt;=20),"BAJA",IF(AND(V66&lt;91,V66&gt;=41),"BUENA",IF(AND(V66&lt;=100,V66&gt;=91),"EXCELENTE",0))))</f>
        <v>EXCELENTE</v>
      </c>
      <c r="X66" s="284"/>
      <c r="Y66" s="283"/>
    </row>
    <row r="67" spans="1:25" ht="30" customHeight="1" x14ac:dyDescent="0.25">
      <c r="A67" s="272"/>
      <c r="B67" s="275"/>
      <c r="C67" s="269"/>
      <c r="D67" s="187" t="s">
        <v>191</v>
      </c>
      <c r="E67" s="22" t="s">
        <v>51</v>
      </c>
      <c r="F67" s="23" t="s">
        <v>54</v>
      </c>
      <c r="G67" s="23" t="s">
        <v>58</v>
      </c>
      <c r="H67" s="22" t="s">
        <v>65</v>
      </c>
      <c r="I67" s="23"/>
      <c r="J67" s="93" t="s">
        <v>74</v>
      </c>
      <c r="K67" s="89">
        <f t="shared" si="7"/>
        <v>50</v>
      </c>
      <c r="L67" s="95" t="s">
        <v>150</v>
      </c>
      <c r="M67" s="46">
        <f t="shared" si="8"/>
        <v>10</v>
      </c>
      <c r="N67" s="95" t="s">
        <v>150</v>
      </c>
      <c r="O67" s="46">
        <f t="shared" si="9"/>
        <v>5</v>
      </c>
      <c r="P67" s="95" t="s">
        <v>150</v>
      </c>
      <c r="Q67" s="46">
        <f t="shared" si="10"/>
        <v>10</v>
      </c>
      <c r="R67" s="47">
        <f t="shared" si="11"/>
        <v>25</v>
      </c>
      <c r="S67" s="101" t="s">
        <v>91</v>
      </c>
      <c r="T67" s="112">
        <f t="shared" si="12"/>
        <v>25</v>
      </c>
      <c r="U67" s="48">
        <f t="shared" si="13"/>
        <v>100</v>
      </c>
      <c r="V67" s="278"/>
      <c r="W67" s="281"/>
      <c r="X67" s="284"/>
      <c r="Y67" s="283"/>
    </row>
    <row r="68" spans="1:25" ht="30" customHeight="1" thickBot="1" x14ac:dyDescent="0.3">
      <c r="A68" s="273"/>
      <c r="B68" s="276"/>
      <c r="C68" s="270"/>
      <c r="D68" s="188"/>
      <c r="E68" s="98"/>
      <c r="F68" s="54"/>
      <c r="G68" s="54"/>
      <c r="H68" s="98"/>
      <c r="I68" s="54"/>
      <c r="J68" s="94"/>
      <c r="K68" s="103">
        <f t="shared" si="7"/>
        <v>0</v>
      </c>
      <c r="L68" s="96"/>
      <c r="M68" s="55">
        <f t="shared" si="8"/>
        <v>0</v>
      </c>
      <c r="N68" s="96"/>
      <c r="O68" s="55">
        <f t="shared" si="9"/>
        <v>0</v>
      </c>
      <c r="P68" s="96"/>
      <c r="Q68" s="55">
        <f t="shared" si="10"/>
        <v>0</v>
      </c>
      <c r="R68" s="56">
        <f t="shared" si="11"/>
        <v>0</v>
      </c>
      <c r="S68" s="102"/>
      <c r="T68" s="114">
        <f t="shared" si="12"/>
        <v>0</v>
      </c>
      <c r="U68" s="57">
        <f t="shared" si="13"/>
        <v>0</v>
      </c>
      <c r="V68" s="279"/>
      <c r="W68" s="282"/>
      <c r="X68" s="284"/>
      <c r="Y68" s="283"/>
    </row>
    <row r="69" spans="1:25" ht="16.5" thickTop="1" thickBot="1" x14ac:dyDescent="0.3">
      <c r="A69" s="44" t="s">
        <v>79</v>
      </c>
      <c r="B69" s="44" t="s">
        <v>79</v>
      </c>
      <c r="C69" s="44"/>
      <c r="D69" s="44" t="s">
        <v>79</v>
      </c>
      <c r="E69" s="44" t="s">
        <v>79</v>
      </c>
      <c r="F69" s="44" t="s">
        <v>79</v>
      </c>
      <c r="G69" s="44" t="s">
        <v>79</v>
      </c>
      <c r="H69" s="44" t="s">
        <v>79</v>
      </c>
      <c r="I69" s="44" t="s">
        <v>79</v>
      </c>
      <c r="J69" s="44"/>
      <c r="K69" s="44" t="s">
        <v>79</v>
      </c>
      <c r="L69" s="44" t="s">
        <v>79</v>
      </c>
      <c r="M69" s="44" t="s">
        <v>79</v>
      </c>
      <c r="N69" s="44" t="s">
        <v>79</v>
      </c>
      <c r="O69" s="44" t="s">
        <v>79</v>
      </c>
      <c r="P69" s="44" t="s">
        <v>79</v>
      </c>
      <c r="Q69" s="44" t="s">
        <v>79</v>
      </c>
      <c r="R69" s="44" t="s">
        <v>79</v>
      </c>
      <c r="S69" s="44"/>
      <c r="T69" s="44" t="s">
        <v>79</v>
      </c>
      <c r="U69" s="44" t="s">
        <v>79</v>
      </c>
      <c r="V69" s="44" t="s">
        <v>79</v>
      </c>
      <c r="W69" s="44" t="s">
        <v>79</v>
      </c>
      <c r="X69" s="92"/>
      <c r="Y69" s="92"/>
    </row>
    <row r="70" spans="1:25" ht="15.75" thickTop="1" x14ac:dyDescent="0.25"/>
  </sheetData>
  <mergeCells count="160">
    <mergeCell ref="N1:O1"/>
    <mergeCell ref="P1:Q1"/>
    <mergeCell ref="L4:Q4"/>
    <mergeCell ref="V24:V26"/>
    <mergeCell ref="W24:W26"/>
    <mergeCell ref="V36:V38"/>
    <mergeCell ref="W36:W38"/>
    <mergeCell ref="V39:V41"/>
    <mergeCell ref="W39:W41"/>
    <mergeCell ref="V27:V29"/>
    <mergeCell ref="W27:W29"/>
    <mergeCell ref="V30:V32"/>
    <mergeCell ref="W30:W32"/>
    <mergeCell ref="V33:V35"/>
    <mergeCell ref="W33:W35"/>
    <mergeCell ref="V9:V11"/>
    <mergeCell ref="W9:W11"/>
    <mergeCell ref="V12:V14"/>
    <mergeCell ref="W12:W14"/>
    <mergeCell ref="V15:V17"/>
    <mergeCell ref="W15:W17"/>
    <mergeCell ref="V18:V20"/>
    <mergeCell ref="W18:W20"/>
    <mergeCell ref="S5:T5"/>
    <mergeCell ref="A39:A41"/>
    <mergeCell ref="B39:B41"/>
    <mergeCell ref="A24:A26"/>
    <mergeCell ref="B24:B26"/>
    <mergeCell ref="A27:A29"/>
    <mergeCell ref="B27:B29"/>
    <mergeCell ref="A30:A32"/>
    <mergeCell ref="B30:B32"/>
    <mergeCell ref="L1:M1"/>
    <mergeCell ref="B12:B14"/>
    <mergeCell ref="J4:K4"/>
    <mergeCell ref="L5:M5"/>
    <mergeCell ref="J5:K5"/>
    <mergeCell ref="C33:C35"/>
    <mergeCell ref="C36:C38"/>
    <mergeCell ref="C39:C41"/>
    <mergeCell ref="X30:X32"/>
    <mergeCell ref="X9:X11"/>
    <mergeCell ref="AE2:AF2"/>
    <mergeCell ref="A33:A35"/>
    <mergeCell ref="B33:B35"/>
    <mergeCell ref="A36:A38"/>
    <mergeCell ref="B36:B38"/>
    <mergeCell ref="A15:A17"/>
    <mergeCell ref="A18:A20"/>
    <mergeCell ref="A21:A23"/>
    <mergeCell ref="B21:B23"/>
    <mergeCell ref="B15:B17"/>
    <mergeCell ref="B18:B20"/>
    <mergeCell ref="A6:A8"/>
    <mergeCell ref="B6:B8"/>
    <mergeCell ref="B9:B11"/>
    <mergeCell ref="A9:A11"/>
    <mergeCell ref="A12:A14"/>
    <mergeCell ref="Y36:Y38"/>
    <mergeCell ref="X12:X14"/>
    <mergeCell ref="X15:X17"/>
    <mergeCell ref="Y33:Y35"/>
    <mergeCell ref="Y30:Y32"/>
    <mergeCell ref="Y9:Y11"/>
    <mergeCell ref="AE3:AE4"/>
    <mergeCell ref="AF3:AF4"/>
    <mergeCell ref="AG3:AG4"/>
    <mergeCell ref="Y27:Y29"/>
    <mergeCell ref="W6:W8"/>
    <mergeCell ref="X18:X20"/>
    <mergeCell ref="X21:X23"/>
    <mergeCell ref="X24:X26"/>
    <mergeCell ref="X27:X29"/>
    <mergeCell ref="Y24:Y26"/>
    <mergeCell ref="V6:V8"/>
    <mergeCell ref="S4:T4"/>
    <mergeCell ref="N5:O5"/>
    <mergeCell ref="P5:Q5"/>
    <mergeCell ref="Y12:Y14"/>
    <mergeCell ref="Y15:Y17"/>
    <mergeCell ref="V21:V23"/>
    <mergeCell ref="W21:W23"/>
    <mergeCell ref="Y18:Y20"/>
    <mergeCell ref="Y21:Y23"/>
    <mergeCell ref="X42:X44"/>
    <mergeCell ref="Y42:Y44"/>
    <mergeCell ref="A45:A47"/>
    <mergeCell ref="B45:B47"/>
    <mergeCell ref="V45:V47"/>
    <mergeCell ref="W45:W47"/>
    <mergeCell ref="X45:X47"/>
    <mergeCell ref="Y45:Y47"/>
    <mergeCell ref="A42:A44"/>
    <mergeCell ref="B42:B44"/>
    <mergeCell ref="V42:V44"/>
    <mergeCell ref="W42:W44"/>
    <mergeCell ref="C42:C44"/>
    <mergeCell ref="C45:C47"/>
    <mergeCell ref="Y39:Y41"/>
    <mergeCell ref="X36:X38"/>
    <mergeCell ref="X39:X41"/>
    <mergeCell ref="X33:X35"/>
    <mergeCell ref="X54:X56"/>
    <mergeCell ref="Y54:Y56"/>
    <mergeCell ref="A57:A59"/>
    <mergeCell ref="B57:B59"/>
    <mergeCell ref="V57:V59"/>
    <mergeCell ref="W57:W59"/>
    <mergeCell ref="X57:X59"/>
    <mergeCell ref="Y57:Y59"/>
    <mergeCell ref="X48:X50"/>
    <mergeCell ref="Y48:Y50"/>
    <mergeCell ref="A51:A53"/>
    <mergeCell ref="B51:B53"/>
    <mergeCell ref="V51:V53"/>
    <mergeCell ref="W51:W53"/>
    <mergeCell ref="X51:X53"/>
    <mergeCell ref="Y51:Y53"/>
    <mergeCell ref="A48:A50"/>
    <mergeCell ref="B48:B50"/>
    <mergeCell ref="V48:V50"/>
    <mergeCell ref="W48:W50"/>
    <mergeCell ref="A54:A56"/>
    <mergeCell ref="B54:B56"/>
    <mergeCell ref="V54:V56"/>
    <mergeCell ref="W54:W56"/>
    <mergeCell ref="Y66:Y68"/>
    <mergeCell ref="A66:A68"/>
    <mergeCell ref="B66:B68"/>
    <mergeCell ref="V66:V68"/>
    <mergeCell ref="W66:W68"/>
    <mergeCell ref="X66:X68"/>
    <mergeCell ref="Y60:Y62"/>
    <mergeCell ref="A63:A65"/>
    <mergeCell ref="B63:B65"/>
    <mergeCell ref="V63:V65"/>
    <mergeCell ref="W63:W65"/>
    <mergeCell ref="X63:X65"/>
    <mergeCell ref="Y63:Y65"/>
    <mergeCell ref="A60:A62"/>
    <mergeCell ref="B60:B62"/>
    <mergeCell ref="V60:V62"/>
    <mergeCell ref="W60:W62"/>
    <mergeCell ref="X60:X62"/>
    <mergeCell ref="C60:C62"/>
    <mergeCell ref="C63:C65"/>
    <mergeCell ref="C66:C68"/>
    <mergeCell ref="C48:C50"/>
    <mergeCell ref="C51:C53"/>
    <mergeCell ref="C54:C56"/>
    <mergeCell ref="C57:C59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</mergeCells>
  <conditionalFormatting sqref="U6">
    <cfRule type="iconSet" priority="341">
      <iconSet>
        <cfvo type="percent" val="0"/>
        <cfvo type="num" val="41"/>
        <cfvo type="num" val="79"/>
      </iconSet>
    </cfRule>
  </conditionalFormatting>
  <conditionalFormatting sqref="V6">
    <cfRule type="iconSet" priority="340">
      <iconSet>
        <cfvo type="percent" val="0"/>
        <cfvo type="num" val="41"/>
        <cfvo type="num" val="79"/>
      </iconSet>
    </cfRule>
  </conditionalFormatting>
  <conditionalFormatting sqref="X9">
    <cfRule type="iconSet" priority="335">
      <iconSet>
        <cfvo type="percent" val="0"/>
        <cfvo type="num" val="41"/>
        <cfvo type="num" val="79"/>
      </iconSet>
    </cfRule>
  </conditionalFormatting>
  <conditionalFormatting sqref="X12">
    <cfRule type="iconSet" priority="334">
      <iconSet>
        <cfvo type="percent" val="0"/>
        <cfvo type="num" val="41"/>
        <cfvo type="num" val="79"/>
      </iconSet>
    </cfRule>
  </conditionalFormatting>
  <conditionalFormatting sqref="X15">
    <cfRule type="iconSet" priority="333">
      <iconSet>
        <cfvo type="percent" val="0"/>
        <cfvo type="num" val="41"/>
        <cfvo type="num" val="79"/>
      </iconSet>
    </cfRule>
  </conditionalFormatting>
  <conditionalFormatting sqref="X18">
    <cfRule type="iconSet" priority="332">
      <iconSet>
        <cfvo type="percent" val="0"/>
        <cfvo type="num" val="41"/>
        <cfvo type="num" val="79"/>
      </iconSet>
    </cfRule>
  </conditionalFormatting>
  <conditionalFormatting sqref="X21">
    <cfRule type="iconSet" priority="331">
      <iconSet>
        <cfvo type="percent" val="0"/>
        <cfvo type="num" val="41"/>
        <cfvo type="num" val="79"/>
      </iconSet>
    </cfRule>
  </conditionalFormatting>
  <conditionalFormatting sqref="X24">
    <cfRule type="iconSet" priority="330">
      <iconSet>
        <cfvo type="percent" val="0"/>
        <cfvo type="num" val="41"/>
        <cfvo type="num" val="79"/>
      </iconSet>
    </cfRule>
  </conditionalFormatting>
  <conditionalFormatting sqref="X27">
    <cfRule type="iconSet" priority="329">
      <iconSet>
        <cfvo type="percent" val="0"/>
        <cfvo type="num" val="41"/>
        <cfvo type="num" val="79"/>
      </iconSet>
    </cfRule>
  </conditionalFormatting>
  <conditionalFormatting sqref="X30">
    <cfRule type="iconSet" priority="328">
      <iconSet>
        <cfvo type="percent" val="0"/>
        <cfvo type="num" val="41"/>
        <cfvo type="num" val="79"/>
      </iconSet>
    </cfRule>
  </conditionalFormatting>
  <conditionalFormatting sqref="X33">
    <cfRule type="iconSet" priority="327">
      <iconSet>
        <cfvo type="percent" val="0"/>
        <cfvo type="num" val="41"/>
        <cfvo type="num" val="79"/>
      </iconSet>
    </cfRule>
  </conditionalFormatting>
  <conditionalFormatting sqref="X36">
    <cfRule type="iconSet" priority="326">
      <iconSet>
        <cfvo type="percent" val="0"/>
        <cfvo type="num" val="41"/>
        <cfvo type="num" val="79"/>
      </iconSet>
    </cfRule>
  </conditionalFormatting>
  <conditionalFormatting sqref="U7">
    <cfRule type="iconSet" priority="231">
      <iconSet>
        <cfvo type="percent" val="0"/>
        <cfvo type="num" val="41"/>
        <cfvo type="num" val="79"/>
      </iconSet>
    </cfRule>
  </conditionalFormatting>
  <conditionalFormatting sqref="U8">
    <cfRule type="iconSet" priority="230">
      <iconSet>
        <cfvo type="percent" val="0"/>
        <cfvo type="num" val="41"/>
        <cfvo type="num" val="79"/>
      </iconSet>
    </cfRule>
  </conditionalFormatting>
  <conditionalFormatting sqref="U12">
    <cfRule type="iconSet" priority="217">
      <iconSet>
        <cfvo type="percent" val="0"/>
        <cfvo type="num" val="41"/>
        <cfvo type="num" val="79"/>
      </iconSet>
    </cfRule>
  </conditionalFormatting>
  <conditionalFormatting sqref="V12">
    <cfRule type="iconSet" priority="216">
      <iconSet>
        <cfvo type="percent" val="0"/>
        <cfvo type="num" val="41"/>
        <cfvo type="num" val="79"/>
      </iconSet>
    </cfRule>
  </conditionalFormatting>
  <conditionalFormatting sqref="U13">
    <cfRule type="iconSet" priority="215">
      <iconSet>
        <cfvo type="percent" val="0"/>
        <cfvo type="num" val="41"/>
        <cfvo type="num" val="79"/>
      </iconSet>
    </cfRule>
  </conditionalFormatting>
  <conditionalFormatting sqref="U14">
    <cfRule type="iconSet" priority="214">
      <iconSet>
        <cfvo type="percent" val="0"/>
        <cfvo type="num" val="41"/>
        <cfvo type="num" val="79"/>
      </iconSet>
    </cfRule>
  </conditionalFormatting>
  <conditionalFormatting sqref="U15">
    <cfRule type="iconSet" priority="209">
      <iconSet>
        <cfvo type="percent" val="0"/>
        <cfvo type="num" val="41"/>
        <cfvo type="num" val="79"/>
      </iconSet>
    </cfRule>
  </conditionalFormatting>
  <conditionalFormatting sqref="V15">
    <cfRule type="iconSet" priority="208">
      <iconSet>
        <cfvo type="percent" val="0"/>
        <cfvo type="num" val="41"/>
        <cfvo type="num" val="79"/>
      </iconSet>
    </cfRule>
  </conditionalFormatting>
  <conditionalFormatting sqref="U16">
    <cfRule type="iconSet" priority="207">
      <iconSet>
        <cfvo type="percent" val="0"/>
        <cfvo type="num" val="41"/>
        <cfvo type="num" val="79"/>
      </iconSet>
    </cfRule>
  </conditionalFormatting>
  <conditionalFormatting sqref="U17">
    <cfRule type="iconSet" priority="206">
      <iconSet>
        <cfvo type="percent" val="0"/>
        <cfvo type="num" val="41"/>
        <cfvo type="num" val="79"/>
      </iconSet>
    </cfRule>
  </conditionalFormatting>
  <conditionalFormatting sqref="U18">
    <cfRule type="iconSet" priority="201">
      <iconSet>
        <cfvo type="percent" val="0"/>
        <cfvo type="num" val="41"/>
        <cfvo type="num" val="79"/>
      </iconSet>
    </cfRule>
  </conditionalFormatting>
  <conditionalFormatting sqref="V18">
    <cfRule type="iconSet" priority="200">
      <iconSet>
        <cfvo type="percent" val="0"/>
        <cfvo type="num" val="41"/>
        <cfvo type="num" val="79"/>
      </iconSet>
    </cfRule>
  </conditionalFormatting>
  <conditionalFormatting sqref="U19">
    <cfRule type="iconSet" priority="199">
      <iconSet>
        <cfvo type="percent" val="0"/>
        <cfvo type="num" val="41"/>
        <cfvo type="num" val="79"/>
      </iconSet>
    </cfRule>
  </conditionalFormatting>
  <conditionalFormatting sqref="U20">
    <cfRule type="iconSet" priority="198">
      <iconSet>
        <cfvo type="percent" val="0"/>
        <cfvo type="num" val="41"/>
        <cfvo type="num" val="79"/>
      </iconSet>
    </cfRule>
  </conditionalFormatting>
  <conditionalFormatting sqref="U21">
    <cfRule type="iconSet" priority="193">
      <iconSet>
        <cfvo type="percent" val="0"/>
        <cfvo type="num" val="41"/>
        <cfvo type="num" val="79"/>
      </iconSet>
    </cfRule>
  </conditionalFormatting>
  <conditionalFormatting sqref="V21">
    <cfRule type="iconSet" priority="192">
      <iconSet>
        <cfvo type="percent" val="0"/>
        <cfvo type="num" val="41"/>
        <cfvo type="num" val="79"/>
      </iconSet>
    </cfRule>
  </conditionalFormatting>
  <conditionalFormatting sqref="U22">
    <cfRule type="iconSet" priority="191">
      <iconSet>
        <cfvo type="percent" val="0"/>
        <cfvo type="num" val="41"/>
        <cfvo type="num" val="79"/>
      </iconSet>
    </cfRule>
  </conditionalFormatting>
  <conditionalFormatting sqref="U23">
    <cfRule type="iconSet" priority="190">
      <iconSet>
        <cfvo type="percent" val="0"/>
        <cfvo type="num" val="41"/>
        <cfvo type="num" val="79"/>
      </iconSet>
    </cfRule>
  </conditionalFormatting>
  <conditionalFormatting sqref="U24">
    <cfRule type="iconSet" priority="185">
      <iconSet>
        <cfvo type="percent" val="0"/>
        <cfvo type="num" val="41"/>
        <cfvo type="num" val="79"/>
      </iconSet>
    </cfRule>
  </conditionalFormatting>
  <conditionalFormatting sqref="V24">
    <cfRule type="iconSet" priority="184">
      <iconSet>
        <cfvo type="percent" val="0"/>
        <cfvo type="num" val="41"/>
        <cfvo type="num" val="79"/>
      </iconSet>
    </cfRule>
  </conditionalFormatting>
  <conditionalFormatting sqref="U25">
    <cfRule type="iconSet" priority="183">
      <iconSet>
        <cfvo type="percent" val="0"/>
        <cfvo type="num" val="41"/>
        <cfvo type="num" val="79"/>
      </iconSet>
    </cfRule>
  </conditionalFormatting>
  <conditionalFormatting sqref="U26">
    <cfRule type="iconSet" priority="182">
      <iconSet>
        <cfvo type="percent" val="0"/>
        <cfvo type="num" val="41"/>
        <cfvo type="num" val="79"/>
      </iconSet>
    </cfRule>
  </conditionalFormatting>
  <conditionalFormatting sqref="U27">
    <cfRule type="iconSet" priority="177">
      <iconSet>
        <cfvo type="percent" val="0"/>
        <cfvo type="num" val="41"/>
        <cfvo type="num" val="79"/>
      </iconSet>
    </cfRule>
  </conditionalFormatting>
  <conditionalFormatting sqref="V27">
    <cfRule type="iconSet" priority="176">
      <iconSet>
        <cfvo type="percent" val="0"/>
        <cfvo type="num" val="41"/>
        <cfvo type="num" val="79"/>
      </iconSet>
    </cfRule>
  </conditionalFormatting>
  <conditionalFormatting sqref="U28">
    <cfRule type="iconSet" priority="175">
      <iconSet>
        <cfvo type="percent" val="0"/>
        <cfvo type="num" val="41"/>
        <cfvo type="num" val="79"/>
      </iconSet>
    </cfRule>
  </conditionalFormatting>
  <conditionalFormatting sqref="U29">
    <cfRule type="iconSet" priority="174">
      <iconSet>
        <cfvo type="percent" val="0"/>
        <cfvo type="num" val="41"/>
        <cfvo type="num" val="79"/>
      </iconSet>
    </cfRule>
  </conditionalFormatting>
  <conditionalFormatting sqref="U30">
    <cfRule type="iconSet" priority="169">
      <iconSet>
        <cfvo type="percent" val="0"/>
        <cfvo type="num" val="41"/>
        <cfvo type="num" val="79"/>
      </iconSet>
    </cfRule>
  </conditionalFormatting>
  <conditionalFormatting sqref="V30">
    <cfRule type="iconSet" priority="168">
      <iconSet>
        <cfvo type="percent" val="0"/>
        <cfvo type="num" val="41"/>
        <cfvo type="num" val="79"/>
      </iconSet>
    </cfRule>
  </conditionalFormatting>
  <conditionalFormatting sqref="U31">
    <cfRule type="iconSet" priority="167">
      <iconSet>
        <cfvo type="percent" val="0"/>
        <cfvo type="num" val="41"/>
        <cfvo type="num" val="79"/>
      </iconSet>
    </cfRule>
  </conditionalFormatting>
  <conditionalFormatting sqref="U32">
    <cfRule type="iconSet" priority="166">
      <iconSet>
        <cfvo type="percent" val="0"/>
        <cfvo type="num" val="41"/>
        <cfvo type="num" val="79"/>
      </iconSet>
    </cfRule>
  </conditionalFormatting>
  <conditionalFormatting sqref="U33">
    <cfRule type="iconSet" priority="161">
      <iconSet>
        <cfvo type="percent" val="0"/>
        <cfvo type="num" val="41"/>
        <cfvo type="num" val="79"/>
      </iconSet>
    </cfRule>
  </conditionalFormatting>
  <conditionalFormatting sqref="V33">
    <cfRule type="iconSet" priority="160">
      <iconSet>
        <cfvo type="percent" val="0"/>
        <cfvo type="num" val="41"/>
        <cfvo type="num" val="79"/>
      </iconSet>
    </cfRule>
  </conditionalFormatting>
  <conditionalFormatting sqref="U34">
    <cfRule type="iconSet" priority="159">
      <iconSet>
        <cfvo type="percent" val="0"/>
        <cfvo type="num" val="41"/>
        <cfvo type="num" val="79"/>
      </iconSet>
    </cfRule>
  </conditionalFormatting>
  <conditionalFormatting sqref="U35">
    <cfRule type="iconSet" priority="158">
      <iconSet>
        <cfvo type="percent" val="0"/>
        <cfvo type="num" val="41"/>
        <cfvo type="num" val="79"/>
      </iconSet>
    </cfRule>
  </conditionalFormatting>
  <conditionalFormatting sqref="U36">
    <cfRule type="iconSet" priority="153">
      <iconSet>
        <cfvo type="percent" val="0"/>
        <cfvo type="num" val="41"/>
        <cfvo type="num" val="79"/>
      </iconSet>
    </cfRule>
  </conditionalFormatting>
  <conditionalFormatting sqref="V36">
    <cfRule type="iconSet" priority="152">
      <iconSet>
        <cfvo type="percent" val="0"/>
        <cfvo type="num" val="41"/>
        <cfvo type="num" val="79"/>
      </iconSet>
    </cfRule>
  </conditionalFormatting>
  <conditionalFormatting sqref="U37">
    <cfRule type="iconSet" priority="151">
      <iconSet>
        <cfvo type="percent" val="0"/>
        <cfvo type="num" val="41"/>
        <cfvo type="num" val="79"/>
      </iconSet>
    </cfRule>
  </conditionalFormatting>
  <conditionalFormatting sqref="U38">
    <cfRule type="iconSet" priority="150">
      <iconSet>
        <cfvo type="percent" val="0"/>
        <cfvo type="num" val="41"/>
        <cfvo type="num" val="79"/>
      </iconSet>
    </cfRule>
  </conditionalFormatting>
  <conditionalFormatting sqref="U9">
    <cfRule type="iconSet" priority="137">
      <iconSet>
        <cfvo type="percent" val="0"/>
        <cfvo type="num" val="41"/>
        <cfvo type="num" val="79"/>
      </iconSet>
    </cfRule>
  </conditionalFormatting>
  <conditionalFormatting sqref="V9">
    <cfRule type="iconSet" priority="136">
      <iconSet>
        <cfvo type="percent" val="0"/>
        <cfvo type="num" val="41"/>
        <cfvo type="num" val="79"/>
      </iconSet>
    </cfRule>
  </conditionalFormatting>
  <conditionalFormatting sqref="U10">
    <cfRule type="iconSet" priority="135">
      <iconSet>
        <cfvo type="percent" val="0"/>
        <cfvo type="num" val="41"/>
        <cfvo type="num" val="79"/>
      </iconSet>
    </cfRule>
  </conditionalFormatting>
  <conditionalFormatting sqref="U11">
    <cfRule type="iconSet" priority="134">
      <iconSet>
        <cfvo type="percent" val="0"/>
        <cfvo type="num" val="41"/>
        <cfvo type="num" val="79"/>
      </iconSet>
    </cfRule>
  </conditionalFormatting>
  <conditionalFormatting sqref="Y9:Y38 W6:W68">
    <cfRule type="expression" dxfId="87" priority="378">
      <formula>W6=$X$1</formula>
    </cfRule>
    <cfRule type="expression" dxfId="86" priority="379">
      <formula>W6=$X$2</formula>
    </cfRule>
    <cfRule type="expression" dxfId="85" priority="380">
      <formula>W6=$X$3</formula>
    </cfRule>
    <cfRule type="expression" dxfId="84" priority="381">
      <formula>W6=$X$4</formula>
    </cfRule>
  </conditionalFormatting>
  <conditionalFormatting sqref="Y39:Y68">
    <cfRule type="expression" dxfId="83" priority="6">
      <formula>Y39=$X$1</formula>
    </cfRule>
    <cfRule type="expression" dxfId="82" priority="7">
      <formula>Y39=$X$2</formula>
    </cfRule>
    <cfRule type="expression" dxfId="81" priority="8">
      <formula>Y39=$X$3</formula>
    </cfRule>
    <cfRule type="expression" dxfId="80" priority="9">
      <formula>Y39=$X$4</formula>
    </cfRule>
  </conditionalFormatting>
  <conditionalFormatting sqref="X39 X42 X45 X48 X51 X54 X57 X60 X63 X66">
    <cfRule type="iconSet" priority="5">
      <iconSet>
        <cfvo type="percent" val="0"/>
        <cfvo type="num" val="41"/>
        <cfvo type="num" val="79"/>
      </iconSet>
    </cfRule>
  </conditionalFormatting>
  <conditionalFormatting sqref="U39 U42 U45 U48 U51 U54 U57 U60 U63 U66">
    <cfRule type="iconSet" priority="4">
      <iconSet>
        <cfvo type="percent" val="0"/>
        <cfvo type="num" val="41"/>
        <cfvo type="num" val="79"/>
      </iconSet>
    </cfRule>
  </conditionalFormatting>
  <conditionalFormatting sqref="V39 V42 V45 V48 V51 V54 V57 V60 V63 V66">
    <cfRule type="iconSet" priority="3">
      <iconSet>
        <cfvo type="percent" val="0"/>
        <cfvo type="num" val="41"/>
        <cfvo type="num" val="79"/>
      </iconSet>
    </cfRule>
  </conditionalFormatting>
  <conditionalFormatting sqref="U40 U43 U46 U49 U52 U55 U58 U61 U64 U67">
    <cfRule type="iconSet" priority="2">
      <iconSet>
        <cfvo type="percent" val="0"/>
        <cfvo type="num" val="41"/>
        <cfvo type="num" val="79"/>
      </iconSet>
    </cfRule>
  </conditionalFormatting>
  <conditionalFormatting sqref="U41 U44 U47 U50 U53 U56 U59 U62 U65 U68">
    <cfRule type="iconSet" priority="1">
      <iconSet>
        <cfvo type="percent" val="0"/>
        <cfvo type="num" val="41"/>
        <cfvo type="num" val="79"/>
      </iconSet>
    </cfRule>
  </conditionalFormatting>
  <dataValidations count="3">
    <dataValidation allowBlank="1" showErrorMessage="1" prompt="Es uno de los criterios de calificación de los CONTROLES, tiene un peso de 10 puntos sobre un total de 100." sqref="L4"/>
    <dataValidation type="list" allowBlank="1" showInputMessage="1" showErrorMessage="1" sqref="N6:N68 P6:P68">
      <formula1>$N$2:$N$3</formula1>
    </dataValidation>
    <dataValidation type="list" allowBlank="1" showInputMessage="1" showErrorMessage="1" sqref="S6:S68">
      <formula1>$S$1:$S$3</formula1>
    </dataValidation>
  </dataValidations>
  <pageMargins left="0.7" right="0.7" top="0.75" bottom="0.75" header="0.3" footer="0.3"/>
  <pageSetup scale="1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DATOS!$AA$2:$AA$4</xm:f>
          </x14:formula1>
          <xm:sqref>F6:F68</xm:sqref>
        </x14:dataValidation>
        <x14:dataValidation type="list" allowBlank="1" showInputMessage="1" showErrorMessage="1">
          <x14:formula1>
            <xm:f>DATOS!$AE$2:$AE$4</xm:f>
          </x14:formula1>
          <xm:sqref>H6:H68</xm:sqref>
        </x14:dataValidation>
        <x14:dataValidation type="list" allowBlank="1" showInputMessage="1" showErrorMessage="1">
          <x14:formula1>
            <xm:f>DATOS!$AG$2:$AG$7</xm:f>
          </x14:formula1>
          <xm:sqref>I6:I68</xm:sqref>
        </x14:dataValidation>
        <x14:dataValidation type="list" allowBlank="1" showInputMessage="1" showErrorMessage="1">
          <x14:formula1>
            <xm:f>DATOS!$AC$2:$AC$10</xm:f>
          </x14:formula1>
          <xm:sqref>G6:G68</xm:sqref>
        </x14:dataValidation>
        <x14:dataValidation type="list" allowBlank="1" showInputMessage="1" showErrorMessage="1">
          <x14:formula1>
            <xm:f>DATOS!$AI$2:$AI$4</xm:f>
          </x14:formula1>
          <xm:sqref>J6:J68</xm:sqref>
        </x14:dataValidation>
        <x14:dataValidation type="list" allowBlank="1" showInputMessage="1" showErrorMessage="1">
          <x14:formula1>
            <xm:f>DATOS!$AM$1:$AM$2</xm:f>
          </x14:formula1>
          <xm:sqref>L6:L68</xm:sqref>
        </x14:dataValidation>
        <x14:dataValidation type="list" allowBlank="1" showInputMessage="1" showErrorMessage="1">
          <x14:formula1>
            <xm:f>DATOS!$Y$2:$Y$5</xm:f>
          </x14:formula1>
          <xm:sqref>E6:E68 F6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4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9"/>
    <col min="2" max="2" width="40.7109375" style="19" customWidth="1"/>
    <col min="3" max="3" width="20.85546875" style="19" customWidth="1"/>
    <col min="4" max="4" width="44.7109375" style="19" customWidth="1"/>
    <col min="5" max="5" width="13.28515625" style="19" bestFit="1" customWidth="1"/>
    <col min="6" max="6" width="24.7109375" style="19" bestFit="1" customWidth="1"/>
    <col min="7" max="7" width="38.140625" style="19" bestFit="1" customWidth="1"/>
    <col min="8" max="8" width="23.28515625" style="19" bestFit="1" customWidth="1"/>
    <col min="9" max="9" width="23.28515625" style="19" customWidth="1"/>
    <col min="10" max="10" width="23.28515625" style="19" bestFit="1" customWidth="1"/>
    <col min="11" max="11" width="36.7109375" style="19" bestFit="1" customWidth="1"/>
    <col min="12" max="12" width="27.5703125" style="19" bestFit="1" customWidth="1"/>
    <col min="13" max="13" width="15.7109375" style="19" bestFit="1" customWidth="1"/>
    <col min="14" max="16384" width="11.42578125" style="19"/>
  </cols>
  <sheetData>
    <row r="1" spans="1:13" s="181" customFormat="1" ht="18.75" x14ac:dyDescent="0.3">
      <c r="A1" s="302" t="s">
        <v>145</v>
      </c>
      <c r="B1" s="302"/>
      <c r="C1" s="302"/>
      <c r="D1" s="302"/>
      <c r="E1" s="178"/>
      <c r="F1" s="179"/>
      <c r="G1" s="179"/>
      <c r="H1" s="179"/>
      <c r="I1" s="179"/>
      <c r="J1" s="179"/>
      <c r="K1" s="180"/>
      <c r="L1" s="301" t="s">
        <v>118</v>
      </c>
      <c r="M1" s="301"/>
    </row>
    <row r="2" spans="1:13" s="182" customFormat="1" ht="38.25" thickBot="1" x14ac:dyDescent="0.3">
      <c r="A2" s="208" t="str">
        <f>'RIESGO INHERENTE'!A11</f>
        <v>RIESGO</v>
      </c>
      <c r="B2" s="208" t="str">
        <f>+'RIESGO INHERENTE'!C11:C11</f>
        <v>FACTOR DE RIESGO</v>
      </c>
      <c r="C2" s="208" t="str">
        <f>CONTROLES!$W$5</f>
        <v>VALORACION</v>
      </c>
      <c r="D2" s="208" t="str">
        <f>+'RIESGO INHERENTE'!B11:B11</f>
        <v>DESCRIPCION RIESGO</v>
      </c>
      <c r="E2" s="208" t="s">
        <v>171</v>
      </c>
      <c r="F2" s="208" t="s">
        <v>104</v>
      </c>
      <c r="G2" s="208" t="s">
        <v>116</v>
      </c>
      <c r="H2" s="208" t="s">
        <v>105</v>
      </c>
      <c r="I2" s="208" t="s">
        <v>155</v>
      </c>
      <c r="J2" s="208" t="str">
        <f>+H2</f>
        <v>PROBABILIDAD RESIDUAL</v>
      </c>
      <c r="K2" s="208" t="s">
        <v>115</v>
      </c>
      <c r="L2" s="208" t="s">
        <v>117</v>
      </c>
      <c r="M2" s="208" t="s">
        <v>119</v>
      </c>
    </row>
    <row r="3" spans="1:13" ht="60.75" thickTop="1" x14ac:dyDescent="0.25">
      <c r="A3" s="202">
        <f>'RIESGO INHERENTE'!A12</f>
        <v>1</v>
      </c>
      <c r="B3" s="203" t="str">
        <f>'RIESGO INHERENTE'!C12</f>
        <v>Contrapartes (Clientes, Proveedores, Empleados, Accionistas, Vinculados) y Partes interesadas.</v>
      </c>
      <c r="C3" s="204" t="str">
        <f>+VLOOKUP(A3,CONTROLES!A:W,23,0)</f>
        <v>BUENA</v>
      </c>
      <c r="D3" s="203" t="str">
        <f>+VLOOKUP(A3,'RIESGO INHERENTE'!A:B,2,0)</f>
        <v>Operar con personas que sean reconocidas como lavadores de activos, terroristas o financiadores del terrorismo que se encuentren referenciadas en listas restrictivas</v>
      </c>
      <c r="E3" s="203" t="str">
        <f>+VLOOKUP(A3,'RIESGO INHERENTE'!A:N,4,0)</f>
        <v>Operaciones</v>
      </c>
      <c r="F3" s="204">
        <f>+VLOOKUP(A3,'RIESGO INHERENTE'!A:R,15,0)</f>
        <v>5</v>
      </c>
      <c r="G3" s="205">
        <f>+VLOOKUP(A3,'RIESGO INHERENTE'!A:S,16,0)</f>
        <v>5</v>
      </c>
      <c r="H3" s="204">
        <f>+IF(F3*VLOOKUP(C3,CONTROLES!AF:AG,2,0)&lt;1,1,F3*VLOOKUP(C3,CONTROLES!AF:AG,2,0))</f>
        <v>2.5</v>
      </c>
      <c r="I3" s="204">
        <f>+IF(G3*VLOOKUP(C3,CONTROLES!AF:AG,2,0)&lt;1,1,G3*VLOOKUP(C3,CONTROLES!AF:AG,2,0))</f>
        <v>2.5</v>
      </c>
      <c r="J3" s="205">
        <f>IF(ROUNDDOWN(IF(C3="CRíTICA",F3,IF(C3="BAJA",F3*90%,IF(C3="BUENA",F3*50%,IF(C3="EXCELENTE",F3*20%,0)))),0)&lt;1,1,ROUNDDOWN(IF(C3="CRíTICA",F3,IF(C3="BAJA",F3*90%,IF(C3="BUENA",F3*50%,IF(C3="EXCELENTE",F3*20%,0)))),0))</f>
        <v>2</v>
      </c>
      <c r="K3" s="205">
        <f>IF(ROUNDDOWN(IF(C3="CRÍTICA",G3,IF(C3="BAJA",G3*90%,IF(C3="BUENA",G3*50%,IF(C3="EXCELENTE",G3*20%,0)))),0)&lt;1,1,ROUNDDOWN(IF(C3="CRÍTICA",G3,IF(C3="BAJA",G3*90%,IF(C3="BUENA",G3*50%,IF(C3="EXCELENTE",G3*20%,0)))),0))</f>
        <v>2</v>
      </c>
      <c r="L3" s="206">
        <f>J3*K3</f>
        <v>4</v>
      </c>
      <c r="M3" s="207" t="str">
        <f>IF(AND(L3&gt;=0,L3&lt;8),"BAJO",IF(AND(L3&gt;=8,L3&lt;14),"MEDIO",IF(AND(L3&gt;=14,L3&lt;20),"ALTO",IF(AND(L3&gt;=20,L3&lt;26),"EXTREMO",""))))</f>
        <v>BAJO</v>
      </c>
    </row>
    <row r="4" spans="1:13" ht="45" x14ac:dyDescent="0.25">
      <c r="A4" s="40">
        <f>'RIESGO INHERENTE'!A13</f>
        <v>2</v>
      </c>
      <c r="B4" s="42" t="str">
        <f>'RIESGO INHERENTE'!C13</f>
        <v>Contrapartes (Clientes, Proveedores, Empleados, Accionistas, Vinculados) y Partes interesadas.</v>
      </c>
      <c r="C4" s="39" t="str">
        <f>+VLOOKUP(A4,CONTROLES!A:W,23,0)</f>
        <v>EXCELENTE</v>
      </c>
      <c r="D4" s="42" t="str">
        <f>+VLOOKUP(A4,'RIESGO INHERENTE'!A:B,2,0)</f>
        <v>Operar con personas que presentan documentación falsa para realizar operaciones de LA/FT/FPADM.</v>
      </c>
      <c r="E4" s="42" t="str">
        <f>+VLOOKUP(A4,'RIESGO INHERENTE'!A:N,4,0)</f>
        <v>Comercial</v>
      </c>
      <c r="F4" s="204">
        <f>+VLOOKUP(A4,'RIESGO INHERENTE'!A:R,15,0)</f>
        <v>5</v>
      </c>
      <c r="G4" s="205">
        <f>+VLOOKUP(A4,'RIESGO INHERENTE'!A:S,16,0)</f>
        <v>3</v>
      </c>
      <c r="H4" s="39">
        <f>+IF(F4*VLOOKUP(C4,CONTROLES!AF:AG,2,0)&lt;1,1,F4*VLOOKUP(C4,CONTROLES!AF:AG,2,0))</f>
        <v>4</v>
      </c>
      <c r="I4" s="39">
        <f>+IF(G4*VLOOKUP(C4,CONTROLES!AF:AG,2,0)&lt;1,1,G4*VLOOKUP(C4,CONTROLES!AF:AG,2,0))</f>
        <v>2.4000000000000004</v>
      </c>
      <c r="J4" s="37">
        <f t="shared" ref="J4:J23" si="0">IF(ROUNDDOWN(IF(C4="CRíTICA",F4,IF(C4="BAJA",F4*90%,IF(C4="BUENA",F4*50%,IF(C4="EXCELENTE",F4*20%,0)))),0)&lt;1,1,ROUNDDOWN(IF(C4="CRíTICA",F4,IF(C4="BAJA",F4*90%,IF(C4="BUENA",F4*50%,IF(C4="EXCELENTE",F4*20%,0)))),0))</f>
        <v>1</v>
      </c>
      <c r="K4" s="37">
        <f t="shared" ref="K4:K23" si="1">IF(ROUNDDOWN(IF(C4="CRÍTICA",G4,IF(C4="BAJA",G4*90%,IF(C4="BUENA",G4*50%,IF(C4="EXCELENTE",G4*20%,0)))),0)&lt;1,1,ROUNDDOWN(IF(C4="CRÍTICA",G4,IF(C4="BAJA",G4*90%,IF(C4="BUENA",G4*50%,IF(C4="EXCELENTE",G4*20%,0)))),0))</f>
        <v>1</v>
      </c>
      <c r="L4" s="38">
        <f t="shared" ref="L4:L24" si="2">J4*K4</f>
        <v>1</v>
      </c>
      <c r="M4" s="36" t="str">
        <f t="shared" ref="M4:M24" si="3">IF(AND(L4&gt;=0,L4&lt;8),"BAJO",IF(AND(L4&gt;=8,L4&lt;14),"MEDIO",IF(AND(L4&gt;=14,L4&lt;20),"ALTO",IF(AND(L4&gt;=20,L4&lt;26),"EXTREMO",""))))</f>
        <v>BAJO</v>
      </c>
    </row>
    <row r="5" spans="1:13" ht="60" x14ac:dyDescent="0.25">
      <c r="A5" s="40">
        <f>'RIESGO INHERENTE'!A14</f>
        <v>3</v>
      </c>
      <c r="B5" s="42" t="str">
        <f>'RIESGO INHERENTE'!C14</f>
        <v>Canal de Distribución</v>
      </c>
      <c r="C5" s="39" t="str">
        <f>+VLOOKUP(A5,CONTROLES!A:W,23,0)</f>
        <v>EXCELENTE</v>
      </c>
      <c r="D5" s="42" t="str">
        <f>+VLOOKUP(A5,'RIESGO INHERENTE'!A:B,2,0)</f>
        <v>Utilización de estructuras societarias complejas para canalizar fondos provenientes del delito de corrupción (tipologías regionales de gafilat: 2009 - 2016)</v>
      </c>
      <c r="E5" s="42" t="str">
        <f>+VLOOKUP(A5,'RIESGO INHERENTE'!A:N,4,0)</f>
        <v>Jurídica</v>
      </c>
      <c r="F5" s="204">
        <f>+VLOOKUP(A5,'RIESGO INHERENTE'!A:R,15,0)</f>
        <v>5</v>
      </c>
      <c r="G5" s="205">
        <f>+VLOOKUP(A5,'RIESGO INHERENTE'!A:S,16,0)</f>
        <v>5</v>
      </c>
      <c r="H5" s="39">
        <f>+IF(F5*VLOOKUP(C5,CONTROLES!AF:AG,2,0)&lt;1,1,F5*VLOOKUP(C5,CONTROLES!AF:AG,2,0))</f>
        <v>4</v>
      </c>
      <c r="I5" s="39">
        <f>+IF(G5*VLOOKUP(C5,CONTROLES!AF:AG,2,0)&lt;1,1,G5*VLOOKUP(C5,CONTROLES!AF:AG,2,0))</f>
        <v>4</v>
      </c>
      <c r="J5" s="37">
        <f t="shared" si="0"/>
        <v>1</v>
      </c>
      <c r="K5" s="37">
        <f t="shared" si="1"/>
        <v>1</v>
      </c>
      <c r="L5" s="38">
        <f t="shared" si="2"/>
        <v>1</v>
      </c>
      <c r="M5" s="36" t="str">
        <f t="shared" si="3"/>
        <v>BAJO</v>
      </c>
    </row>
    <row r="6" spans="1:13" ht="45" x14ac:dyDescent="0.25">
      <c r="A6" s="40">
        <f>'RIESGO INHERENTE'!A15</f>
        <v>4</v>
      </c>
      <c r="B6" s="42" t="str">
        <f>'RIESGO INHERENTE'!C15</f>
        <v>Contrapartes (Clientes, Proveedores, Empleados, Accionistas, Vinculados) y Partes interesadas.</v>
      </c>
      <c r="C6" s="39" t="str">
        <f>+VLOOKUP(A6,CONTROLES!A:W,23,0)</f>
        <v>EXCELENTE</v>
      </c>
      <c r="D6" s="42" t="str">
        <f>+VLOOKUP(A6,'RIESGO INHERENTE'!A:B,2,0)</f>
        <v>No se realiza un adecuado conocimiento del cliente / beneficiario final.</v>
      </c>
      <c r="E6" s="42" t="str">
        <f>+VLOOKUP(A6,'RIESGO INHERENTE'!A:N,4,0)</f>
        <v>Comercial</v>
      </c>
      <c r="F6" s="204">
        <f>+VLOOKUP(A6,'RIESGO INHERENTE'!A:R,15,0)</f>
        <v>4</v>
      </c>
      <c r="G6" s="205">
        <f>+VLOOKUP(A6,'RIESGO INHERENTE'!A:S,16,0)</f>
        <v>4</v>
      </c>
      <c r="H6" s="39">
        <f>+IF(F6*VLOOKUP(C6,CONTROLES!AF:AG,2,0)&lt;1,1,F6*VLOOKUP(C6,CONTROLES!AF:AG,2,0))</f>
        <v>3.2</v>
      </c>
      <c r="I6" s="39">
        <f>+IF(G6*VLOOKUP(C6,CONTROLES!AF:AG,2,0)&lt;1,1,G6*VLOOKUP(C6,CONTROLES!AF:AG,2,0))</f>
        <v>3.2</v>
      </c>
      <c r="J6" s="37">
        <f t="shared" si="0"/>
        <v>1</v>
      </c>
      <c r="K6" s="37">
        <f t="shared" si="1"/>
        <v>1</v>
      </c>
      <c r="L6" s="38">
        <f t="shared" si="2"/>
        <v>1</v>
      </c>
      <c r="M6" s="36" t="str">
        <f t="shared" si="3"/>
        <v>BAJO</v>
      </c>
    </row>
    <row r="7" spans="1:13" ht="45" x14ac:dyDescent="0.25">
      <c r="A7" s="40">
        <f>'RIESGO INHERENTE'!A16</f>
        <v>5</v>
      </c>
      <c r="B7" s="42" t="str">
        <f>'RIESGO INHERENTE'!C16</f>
        <v>Contrapartes (Clientes, Proveedores, Empleados, Accionistas, Vinculados) y Partes interesadas.</v>
      </c>
      <c r="C7" s="39" t="str">
        <f>+VLOOKUP(A7,CONTROLES!A:W,23,0)</f>
        <v>EXCELENTE</v>
      </c>
      <c r="D7" s="42" t="str">
        <f>+VLOOKUP(A7,'RIESGO INHERENTE'!A:B,2,0)</f>
        <v xml:space="preserve">Pago de facturas a un tercero sin verificar listas de control. </v>
      </c>
      <c r="E7" s="42" t="str">
        <f>+VLOOKUP(A7,'RIESGO INHERENTE'!A:N,4,0)</f>
        <v>Operaciones</v>
      </c>
      <c r="F7" s="204">
        <f>+VLOOKUP(A7,'RIESGO INHERENTE'!A:R,15,0)</f>
        <v>4</v>
      </c>
      <c r="G7" s="205">
        <f>+VLOOKUP(A7,'RIESGO INHERENTE'!A:S,16,0)</f>
        <v>4</v>
      </c>
      <c r="H7" s="39">
        <f>+IF(F7*VLOOKUP(C7,CONTROLES!AF:AG,2,0)&lt;1,1,F7*VLOOKUP(C7,CONTROLES!AF:AG,2,0))</f>
        <v>3.2</v>
      </c>
      <c r="I7" s="39">
        <f>+IF(G7*VLOOKUP(C7,CONTROLES!AF:AG,2,0)&lt;1,1,G7*VLOOKUP(C7,CONTROLES!AF:AG,2,0))</f>
        <v>3.2</v>
      </c>
      <c r="J7" s="37">
        <f t="shared" si="0"/>
        <v>1</v>
      </c>
      <c r="K7" s="37">
        <f t="shared" si="1"/>
        <v>1</v>
      </c>
      <c r="L7" s="38">
        <f t="shared" si="2"/>
        <v>1</v>
      </c>
      <c r="M7" s="36" t="str">
        <f t="shared" si="3"/>
        <v>BAJO</v>
      </c>
    </row>
    <row r="8" spans="1:13" ht="60" x14ac:dyDescent="0.25">
      <c r="A8" s="40">
        <f>'RIESGO INHERENTE'!A17</f>
        <v>6</v>
      </c>
      <c r="B8" s="42" t="str">
        <f>'RIESGO INHERENTE'!C17</f>
        <v>Contrapartes (Clientes, Proveedores, Empleados, Accionistas, Vinculados) y Partes interesadas.</v>
      </c>
      <c r="C8" s="39" t="str">
        <f>+VLOOKUP(A8,CONTROLES!A:W,23,0)</f>
        <v>BUENA</v>
      </c>
      <c r="D8" s="42" t="str">
        <f>+VLOOKUP(A8,'RIESGO INHERENTE'!A:B,2,0)</f>
        <v>Utilización de servicios de remesas y cambio de divisas, formales e informales y trasiego físico de dinero en efectivo (recopilación de tipologías regionales de gafilat: 2009 - 2016)</v>
      </c>
      <c r="E8" s="42" t="str">
        <f>+VLOOKUP(A8,'RIESGO INHERENTE'!A:N,4,0)</f>
        <v>Financiero</v>
      </c>
      <c r="F8" s="204">
        <f>+VLOOKUP(A8,'RIESGO INHERENTE'!A:R,15,0)</f>
        <v>4</v>
      </c>
      <c r="G8" s="205">
        <f>+VLOOKUP(A8,'RIESGO INHERENTE'!A:S,16,0)</f>
        <v>5</v>
      </c>
      <c r="H8" s="39">
        <f>+IF(F8*VLOOKUP(C8,CONTROLES!AF:AG,2,0)&lt;1,1,F8*VLOOKUP(C8,CONTROLES!AF:AG,2,0))</f>
        <v>2</v>
      </c>
      <c r="I8" s="39">
        <f>+IF(G8*VLOOKUP(C8,CONTROLES!AF:AG,2,0)&lt;1,1,G8*VLOOKUP(C8,CONTROLES!AF:AG,2,0))</f>
        <v>2.5</v>
      </c>
      <c r="J8" s="37">
        <f t="shared" si="0"/>
        <v>2</v>
      </c>
      <c r="K8" s="37">
        <f t="shared" si="1"/>
        <v>2</v>
      </c>
      <c r="L8" s="38">
        <f t="shared" si="2"/>
        <v>4</v>
      </c>
      <c r="M8" s="36" t="str">
        <f t="shared" si="3"/>
        <v>BAJO</v>
      </c>
    </row>
    <row r="9" spans="1:13" s="118" customFormat="1" ht="45" x14ac:dyDescent="0.25">
      <c r="A9" s="116">
        <f>'RIESGO INHERENTE'!A18</f>
        <v>7</v>
      </c>
      <c r="B9" s="42" t="str">
        <f>'RIESGO INHERENTE'!C18</f>
        <v>Contrapartes (Clientes, Proveedores, Empleados, Accionistas, Vinculados) y Partes interesadas.</v>
      </c>
      <c r="C9" s="39" t="str">
        <f>+VLOOKUP(A9,CONTROLES!A:W,23,0)</f>
        <v>EXCELENTE</v>
      </c>
      <c r="D9" s="42" t="str">
        <f>+VLOOKUP(A9,'RIESGO INHERENTE'!A:B,2,0)</f>
        <v xml:space="preserve">No se realiza la consulta en listas de control periodicamente a proveedores que ya se encuentran vinculados </v>
      </c>
      <c r="E9" s="42" t="str">
        <f>+VLOOKUP(A9,'RIESGO INHERENTE'!A:N,4,0)</f>
        <v>Operaciones</v>
      </c>
      <c r="F9" s="204">
        <f>+VLOOKUP(A9,'RIESGO INHERENTE'!A:R,15,0)</f>
        <v>4</v>
      </c>
      <c r="G9" s="205">
        <f>+VLOOKUP(A9,'RIESGO INHERENTE'!A:S,16,0)</f>
        <v>4</v>
      </c>
      <c r="H9" s="42">
        <f>+IF(F9*VLOOKUP(C9,CONTROLES!AF:AG,2,0)&lt;1,1,F9*VLOOKUP(C9,CONTROLES!AF:AG,2,0))</f>
        <v>3.2</v>
      </c>
      <c r="I9" s="42">
        <f>+IF(G9*VLOOKUP(C9,CONTROLES!AF:AG,2,0)&lt;1,1,G9*VLOOKUP(C9,CONTROLES!AF:AG,2,0))</f>
        <v>3.2</v>
      </c>
      <c r="J9" s="37">
        <f t="shared" si="0"/>
        <v>1</v>
      </c>
      <c r="K9" s="37">
        <f t="shared" si="1"/>
        <v>1</v>
      </c>
      <c r="L9" s="38">
        <f t="shared" si="2"/>
        <v>1</v>
      </c>
      <c r="M9" s="117" t="str">
        <f t="shared" si="3"/>
        <v>BAJO</v>
      </c>
    </row>
    <row r="10" spans="1:13" s="118" customFormat="1" ht="45" x14ac:dyDescent="0.25">
      <c r="A10" s="116">
        <f>'RIESGO INHERENTE'!A19</f>
        <v>8</v>
      </c>
      <c r="B10" s="42" t="str">
        <f>'RIESGO INHERENTE'!C19</f>
        <v>Contrapartes (Clientes, Proveedores, Empleados, Accionistas, Vinculados) y Partes interesadas.</v>
      </c>
      <c r="C10" s="39" t="str">
        <f>+VLOOKUP(A10,CONTROLES!A:W,23,0)</f>
        <v>EXCELENTE</v>
      </c>
      <c r="D10" s="42" t="str">
        <f>+VLOOKUP(A10,'RIESGO INHERENTE'!A:B,2,0)</f>
        <v>A los proveedores vinculados no se les realiza anualmente actualización de la información.</v>
      </c>
      <c r="E10" s="42" t="str">
        <f>+VLOOKUP(A10,'RIESGO INHERENTE'!A:N,4,0)</f>
        <v>Operaciones</v>
      </c>
      <c r="F10" s="204">
        <f>+VLOOKUP(A10,'RIESGO INHERENTE'!A:R,15,0)</f>
        <v>4</v>
      </c>
      <c r="G10" s="205">
        <f>+VLOOKUP(A10,'RIESGO INHERENTE'!A:S,16,0)</f>
        <v>4</v>
      </c>
      <c r="H10" s="42">
        <f>+IF(F10*VLOOKUP(C10,CONTROLES!AF:AG,2,0)&lt;1,1,F10*VLOOKUP(C10,CONTROLES!AF:AG,2,0))</f>
        <v>3.2</v>
      </c>
      <c r="I10" s="42">
        <f>+IF(G10*VLOOKUP(C10,CONTROLES!AF:AG,2,0)&lt;1,1,G10*VLOOKUP(C10,CONTROLES!AF:AG,2,0))</f>
        <v>3.2</v>
      </c>
      <c r="J10" s="37">
        <f t="shared" si="0"/>
        <v>1</v>
      </c>
      <c r="K10" s="37">
        <f t="shared" si="1"/>
        <v>1</v>
      </c>
      <c r="L10" s="38">
        <f t="shared" si="2"/>
        <v>1</v>
      </c>
      <c r="M10" s="117" t="str">
        <f t="shared" si="3"/>
        <v>BAJO</v>
      </c>
    </row>
    <row r="11" spans="1:13" s="118" customFormat="1" ht="45" x14ac:dyDescent="0.25">
      <c r="A11" s="116">
        <f>'RIESGO INHERENTE'!A20</f>
        <v>9</v>
      </c>
      <c r="B11" s="42" t="str">
        <f>'RIESGO INHERENTE'!C20</f>
        <v>Contrapartes (Clientes, Proveedores, Empleados, Accionistas, Vinculados) y Partes interesadas.</v>
      </c>
      <c r="C11" s="39" t="str">
        <f>+VLOOKUP(A11,CONTROLES!A:W,23,0)</f>
        <v>EXCELENTE</v>
      </c>
      <c r="D11" s="42" t="str">
        <f>+VLOOKUP(A11,'RIESGO INHERENTE'!A:B,2,0)</f>
        <v>Se reciban prepagos de arrendamientos sin verificar el origen de los fondos.</v>
      </c>
      <c r="E11" s="42" t="str">
        <f>+VLOOKUP(A11,'RIESGO INHERENTE'!A:N,4,0)</f>
        <v>Comercial</v>
      </c>
      <c r="F11" s="204">
        <f>+VLOOKUP(A11,'RIESGO INHERENTE'!A:R,15,0)</f>
        <v>5</v>
      </c>
      <c r="G11" s="205">
        <f>+VLOOKUP(A11,'RIESGO INHERENTE'!A:S,16,0)</f>
        <v>4</v>
      </c>
      <c r="H11" s="42">
        <f>+IF(F11*VLOOKUP(C11,CONTROLES!AF:AG,2,0)&lt;1,1,F11*VLOOKUP(C11,CONTROLES!AF:AG,2,0))</f>
        <v>4</v>
      </c>
      <c r="I11" s="42">
        <f>+IF(G11*VLOOKUP(C11,CONTROLES!AF:AG,2,0)&lt;1,1,G11*VLOOKUP(C11,CONTROLES!AF:AG,2,0))</f>
        <v>3.2</v>
      </c>
      <c r="J11" s="37">
        <f t="shared" si="0"/>
        <v>1</v>
      </c>
      <c r="K11" s="37">
        <f t="shared" si="1"/>
        <v>1</v>
      </c>
      <c r="L11" s="38">
        <f t="shared" si="2"/>
        <v>1</v>
      </c>
      <c r="M11" s="117" t="str">
        <f t="shared" si="3"/>
        <v>BAJO</v>
      </c>
    </row>
    <row r="12" spans="1:13" s="118" customFormat="1" ht="45" x14ac:dyDescent="0.25">
      <c r="A12" s="116">
        <f>'RIESGO INHERENTE'!A21</f>
        <v>10</v>
      </c>
      <c r="B12" s="42" t="str">
        <f>'RIESGO INHERENTE'!C21</f>
        <v>Contrapartes (Clientes, Proveedores, Empleados, Accionistas, Vinculados) y Partes interesadas.</v>
      </c>
      <c r="C12" s="39" t="str">
        <f>+VLOOKUP(A12,CONTROLES!A:W,23,0)</f>
        <v>EXCELENTE</v>
      </c>
      <c r="D12" s="42" t="str">
        <f>+VLOOKUP(A12,'RIESGO INHERENTE'!A:B,2,0)</f>
        <v>No se realiza la calificación o score de riesgo LA/FT/FPADM de los clientes previa vinculación</v>
      </c>
      <c r="E12" s="42" t="str">
        <f>+VLOOKUP(A12,'RIESGO INHERENTE'!A:N,4,0)</f>
        <v>Operaciones</v>
      </c>
      <c r="F12" s="204">
        <f>+VLOOKUP(A12,'RIESGO INHERENTE'!A:R,15,0)</f>
        <v>5</v>
      </c>
      <c r="G12" s="205">
        <f>+VLOOKUP(A12,'RIESGO INHERENTE'!A:S,16,0)</f>
        <v>4</v>
      </c>
      <c r="H12" s="42">
        <f>+IF(F12*VLOOKUP(C12,CONTROLES!AF:AG,2,0)&lt;1,1,F12*VLOOKUP(C12,CONTROLES!AF:AG,2,0))</f>
        <v>4</v>
      </c>
      <c r="I12" s="42">
        <f>+IF(G12*VLOOKUP(C12,CONTROLES!AF:AG,2,0)&lt;1,1,G12*VLOOKUP(C12,CONTROLES!AF:AG,2,0))</f>
        <v>3.2</v>
      </c>
      <c r="J12" s="37">
        <f t="shared" si="0"/>
        <v>1</v>
      </c>
      <c r="K12" s="37">
        <f t="shared" si="1"/>
        <v>1</v>
      </c>
      <c r="L12" s="38">
        <f t="shared" si="2"/>
        <v>1</v>
      </c>
      <c r="M12" s="117" t="str">
        <f t="shared" si="3"/>
        <v>BAJO</v>
      </c>
    </row>
    <row r="13" spans="1:13" s="118" customFormat="1" ht="45" x14ac:dyDescent="0.25">
      <c r="A13" s="116">
        <f>'RIESGO INHERENTE'!A22</f>
        <v>11</v>
      </c>
      <c r="B13" s="42" t="str">
        <f>'RIESGO INHERENTE'!C22</f>
        <v>Contrapartes (Clientes, Proveedores, Empleados, Accionistas, Vinculados) y Partes interesadas.</v>
      </c>
      <c r="C13" s="39" t="str">
        <f>+VLOOKUP(A13,CONTROLES!A:W,23,0)</f>
        <v>EXCELENTE</v>
      </c>
      <c r="D13" s="42" t="str">
        <f>+VLOOKUP(A13,'RIESGO INHERENTE'!A:B,2,0)</f>
        <v>Se vinculan proveedores sin que se pueda establecer la legitimidad de sus actividades o procedencia de sus fondos.</v>
      </c>
      <c r="E13" s="42" t="str">
        <f>+VLOOKUP(A13,'RIESGO INHERENTE'!A:N,4,0)</f>
        <v>Operaciones</v>
      </c>
      <c r="F13" s="204">
        <f>+VLOOKUP(A13,'RIESGO INHERENTE'!A:R,15,0)</f>
        <v>5</v>
      </c>
      <c r="G13" s="205">
        <f>+VLOOKUP(A13,'RIESGO INHERENTE'!A:S,16,0)</f>
        <v>4</v>
      </c>
      <c r="H13" s="42">
        <f>+IF(F13*VLOOKUP(C13,CONTROLES!AF:AG,2,0)&lt;1,1,F13*VLOOKUP(C13,CONTROLES!AF:AG,2,0))</f>
        <v>4</v>
      </c>
      <c r="I13" s="42">
        <f>+IF(G13*VLOOKUP(C13,CONTROLES!AF:AG,2,0)&lt;1,1,G13*VLOOKUP(C13,CONTROLES!AF:AG,2,0))</f>
        <v>3.2</v>
      </c>
      <c r="J13" s="37">
        <f t="shared" si="0"/>
        <v>1</v>
      </c>
      <c r="K13" s="37">
        <f t="shared" si="1"/>
        <v>1</v>
      </c>
      <c r="L13" s="38">
        <f t="shared" si="2"/>
        <v>1</v>
      </c>
      <c r="M13" s="117" t="str">
        <f t="shared" si="3"/>
        <v>BAJO</v>
      </c>
    </row>
    <row r="14" spans="1:13" s="118" customFormat="1" ht="45" x14ac:dyDescent="0.25">
      <c r="A14" s="116">
        <f>'RIESGO INHERENTE'!A23</f>
        <v>12</v>
      </c>
      <c r="B14" s="42" t="str">
        <f>'RIESGO INHERENTE'!C23</f>
        <v>Contrapartes (Clientes, Proveedores, Empleados, Accionistas, Vinculados) y Partes interesadas.</v>
      </c>
      <c r="C14" s="39" t="str">
        <f>+VLOOKUP(A14,CONTROLES!A:W,23,0)</f>
        <v>EXCELENTE</v>
      </c>
      <c r="D14" s="42" t="str">
        <f>+VLOOKUP(A14,'RIESGO INHERENTE'!A:B,2,0)</f>
        <v>Se vinculen proveedores nacionales o extranjeros ubicados en jurisdicciones consideradas como Alto Riesgo</v>
      </c>
      <c r="E14" s="42" t="str">
        <f>+VLOOKUP(A14,'RIESGO INHERENTE'!A:N,4,0)</f>
        <v>Comercial</v>
      </c>
      <c r="F14" s="204">
        <f>+VLOOKUP(A14,'RIESGO INHERENTE'!A:R,15,0)</f>
        <v>5</v>
      </c>
      <c r="G14" s="205">
        <f>+VLOOKUP(A14,'RIESGO INHERENTE'!A:S,16,0)</f>
        <v>5</v>
      </c>
      <c r="H14" s="42">
        <f>+IF(F14*VLOOKUP(C14,CONTROLES!AF:AG,2,0)&lt;1,1,F14*VLOOKUP(C14,CONTROLES!AF:AG,2,0))</f>
        <v>4</v>
      </c>
      <c r="I14" s="42">
        <f>+IF(G14*VLOOKUP(C14,CONTROLES!AF:AG,2,0)&lt;1,1,G14*VLOOKUP(C14,CONTROLES!AF:AG,2,0))</f>
        <v>4</v>
      </c>
      <c r="J14" s="37">
        <f t="shared" si="0"/>
        <v>1</v>
      </c>
      <c r="K14" s="37">
        <f t="shared" si="1"/>
        <v>1</v>
      </c>
      <c r="L14" s="38">
        <f t="shared" si="2"/>
        <v>1</v>
      </c>
      <c r="M14" s="117" t="str">
        <f t="shared" si="3"/>
        <v>BAJO</v>
      </c>
    </row>
    <row r="15" spans="1:13" s="118" customFormat="1" ht="60" x14ac:dyDescent="0.25">
      <c r="A15" s="116">
        <f>'RIESGO INHERENTE'!A24</f>
        <v>13</v>
      </c>
      <c r="B15" s="42" t="str">
        <f>'RIESGO INHERENTE'!C24</f>
        <v>Producto</v>
      </c>
      <c r="C15" s="39" t="str">
        <f>+VLOOKUP(A15,CONTROLES!A:W,23,0)</f>
        <v>EXCELENTE</v>
      </c>
      <c r="D15" s="42" t="str">
        <f>+VLOOKUP(A15,'RIESGO INHERENTE'!A:B,2,0)</f>
        <v>Se creen productos o nuevas líneas de negocio sin un análisis previo de su vulnerabilidad por parte del Oficial de Cumplimiento de impacto frente al riesgo de LA/FT/FPADM.</v>
      </c>
      <c r="E15" s="42" t="str">
        <f>+VLOOKUP(A15,'RIESGO INHERENTE'!A:N,4,0)</f>
        <v>Nuevos desarrollos</v>
      </c>
      <c r="F15" s="204">
        <f>+VLOOKUP(A15,'RIESGO INHERENTE'!A:R,15,0)</f>
        <v>4</v>
      </c>
      <c r="G15" s="205">
        <f>+VLOOKUP(A15,'RIESGO INHERENTE'!A:S,16,0)</f>
        <v>4</v>
      </c>
      <c r="H15" s="42">
        <f>+IF(F15*VLOOKUP(C15,CONTROLES!AF:AG,2,0)&lt;1,1,F15*VLOOKUP(C15,CONTROLES!AF:AG,2,0))</f>
        <v>3.2</v>
      </c>
      <c r="I15" s="42">
        <f>+IF(G15*VLOOKUP(C15,CONTROLES!AF:AG,2,0)&lt;1,1,G15*VLOOKUP(C15,CONTROLES!AF:AG,2,0))</f>
        <v>3.2</v>
      </c>
      <c r="J15" s="37">
        <f t="shared" si="0"/>
        <v>1</v>
      </c>
      <c r="K15" s="37">
        <f t="shared" si="1"/>
        <v>1</v>
      </c>
      <c r="L15" s="38">
        <f t="shared" ref="L15:L23" si="4">J15*K15</f>
        <v>1</v>
      </c>
      <c r="M15" s="117" t="str">
        <f t="shared" ref="M15:M23" si="5">IF(AND(L15&gt;=0,L15&lt;8),"BAJO",IF(AND(L15&gt;=8,L15&lt;14),"MEDIO",IF(AND(L15&gt;=14,L15&lt;20),"ALTO",IF(AND(L15&gt;=20,L15&lt;26),"EXTREMO",""))))</f>
        <v>BAJO</v>
      </c>
    </row>
    <row r="16" spans="1:13" s="118" customFormat="1" ht="60" x14ac:dyDescent="0.25">
      <c r="A16" s="116">
        <f>'RIESGO INHERENTE'!A25</f>
        <v>14</v>
      </c>
      <c r="B16" s="42" t="str">
        <f>'RIESGO INHERENTE'!C25</f>
        <v>Canal de Distribución</v>
      </c>
      <c r="C16" s="39" t="str">
        <f>+VLOOKUP(A16,CONTROLES!A:W,23,0)</f>
        <v>EXCELENTE</v>
      </c>
      <c r="D16" s="42" t="str">
        <f>+VLOOKUP(A16,'RIESGO INHERENTE'!A:B,2,0)</f>
        <v xml:space="preserve">Utilización de figuras societarias y testaferros para el lavado de activos por parte de una organización delictiva dedicada al tráfico de drogas </v>
      </c>
      <c r="E16" s="42" t="str">
        <f>+VLOOKUP(A16,'RIESGO INHERENTE'!A:N,4,0)</f>
        <v>Jurídica</v>
      </c>
      <c r="F16" s="204">
        <f>+VLOOKUP(A16,'RIESGO INHERENTE'!A:R,15,0)</f>
        <v>5</v>
      </c>
      <c r="G16" s="205">
        <f>+VLOOKUP(A16,'RIESGO INHERENTE'!A:S,16,0)</f>
        <v>5</v>
      </c>
      <c r="H16" s="42">
        <f>+IF(F16*VLOOKUP(C16,CONTROLES!AF:AG,2,0)&lt;1,1,F16*VLOOKUP(C16,CONTROLES!AF:AG,2,0))</f>
        <v>4</v>
      </c>
      <c r="I16" s="42">
        <f>+IF(G16*VLOOKUP(C16,CONTROLES!AF:AG,2,0)&lt;1,1,G16*VLOOKUP(C16,CONTROLES!AF:AG,2,0))</f>
        <v>4</v>
      </c>
      <c r="J16" s="37">
        <f t="shared" si="0"/>
        <v>1</v>
      </c>
      <c r="K16" s="37">
        <f t="shared" si="1"/>
        <v>1</v>
      </c>
      <c r="L16" s="38">
        <f t="shared" si="4"/>
        <v>1</v>
      </c>
      <c r="M16" s="117" t="str">
        <f t="shared" si="5"/>
        <v>BAJO</v>
      </c>
    </row>
    <row r="17" spans="1:13" s="118" customFormat="1" ht="45" x14ac:dyDescent="0.25">
      <c r="A17" s="116">
        <f>'RIESGO INHERENTE'!A26</f>
        <v>15</v>
      </c>
      <c r="B17" s="42" t="str">
        <f>'RIESGO INHERENTE'!C26</f>
        <v>Jurisdicción</v>
      </c>
      <c r="C17" s="39" t="str">
        <f>+VLOOKUP(A17,CONTROLES!A:W,23,0)</f>
        <v>EXCELENTE</v>
      </c>
      <c r="D17" s="42" t="str">
        <f>+VLOOKUP(A17,'RIESGO INHERENTE'!A:B,2,0)</f>
        <v>Lavado de activos a través del traslado transfronterizo de dinero  (recopilación de tipologías regionales de gafilat: 2009 - 2016)</v>
      </c>
      <c r="E17" s="42" t="str">
        <f>+VLOOKUP(A17,'RIESGO INHERENTE'!A:N,4,0)</f>
        <v>Financiero</v>
      </c>
      <c r="F17" s="204">
        <f>+VLOOKUP(A17,'RIESGO INHERENTE'!A:R,15,0)</f>
        <v>5</v>
      </c>
      <c r="G17" s="205">
        <f>+VLOOKUP(A17,'RIESGO INHERENTE'!A:S,16,0)</f>
        <v>4</v>
      </c>
      <c r="H17" s="42">
        <f>+IF(F17*VLOOKUP(C17,CONTROLES!AF:AG,2,0)&lt;1,1,F17*VLOOKUP(C17,CONTROLES!AF:AG,2,0))</f>
        <v>4</v>
      </c>
      <c r="I17" s="42">
        <f>+IF(G17*VLOOKUP(C17,CONTROLES!AF:AG,2,0)&lt;1,1,G17*VLOOKUP(C17,CONTROLES!AF:AG,2,0))</f>
        <v>3.2</v>
      </c>
      <c r="J17" s="37">
        <f t="shared" si="0"/>
        <v>1</v>
      </c>
      <c r="K17" s="37">
        <f t="shared" si="1"/>
        <v>1</v>
      </c>
      <c r="L17" s="38">
        <f t="shared" si="4"/>
        <v>1</v>
      </c>
      <c r="M17" s="117" t="str">
        <f t="shared" si="5"/>
        <v>BAJO</v>
      </c>
    </row>
    <row r="18" spans="1:13" s="118" customFormat="1" ht="60" x14ac:dyDescent="0.25">
      <c r="A18" s="116">
        <f>'RIESGO INHERENTE'!A27</f>
        <v>16</v>
      </c>
      <c r="B18" s="42" t="str">
        <f>'RIESGO INHERENTE'!C27</f>
        <v>Jurisdicción</v>
      </c>
      <c r="C18" s="39" t="str">
        <f>+VLOOKUP(A18,CONTROLES!A:W,23,0)</f>
        <v>EXCELENTE</v>
      </c>
      <c r="D18" s="42" t="str">
        <f>+VLOOKUP(A18,'RIESGO INHERENTE'!A:B,2,0)</f>
        <v>Realizar transacciones directa o indirectamente a países que se encuentren con algún tipo de sanción o bloqueo por autoridades internacionales.</v>
      </c>
      <c r="E18" s="42" t="str">
        <f>+VLOOKUP(A18,'RIESGO INHERENTE'!A:N,4,0)</f>
        <v>Financiero</v>
      </c>
      <c r="F18" s="204">
        <f>+VLOOKUP(A18,'RIESGO INHERENTE'!A:R,15,0)</f>
        <v>5</v>
      </c>
      <c r="G18" s="205">
        <f>+VLOOKUP(A18,'RIESGO INHERENTE'!A:S,16,0)</f>
        <v>5</v>
      </c>
      <c r="H18" s="42">
        <f>+IF(F18*VLOOKUP(C18,CONTROLES!AF:AG,2,0)&lt;1,1,F18*VLOOKUP(C18,CONTROLES!AF:AG,2,0))</f>
        <v>4</v>
      </c>
      <c r="I18" s="42">
        <f>+IF(G18*VLOOKUP(C18,CONTROLES!AF:AG,2,0)&lt;1,1,G18*VLOOKUP(C18,CONTROLES!AF:AG,2,0))</f>
        <v>4</v>
      </c>
      <c r="J18" s="37">
        <f t="shared" si="0"/>
        <v>1</v>
      </c>
      <c r="K18" s="37">
        <f t="shared" si="1"/>
        <v>1</v>
      </c>
      <c r="L18" s="38">
        <f t="shared" si="4"/>
        <v>1</v>
      </c>
      <c r="M18" s="117" t="str">
        <f t="shared" si="5"/>
        <v>BAJO</v>
      </c>
    </row>
    <row r="19" spans="1:13" s="118" customFormat="1" ht="30" x14ac:dyDescent="0.25">
      <c r="A19" s="116">
        <f>'RIESGO INHERENTE'!A28</f>
        <v>17</v>
      </c>
      <c r="B19" s="42" t="str">
        <f>'RIESGO INHERENTE'!C28</f>
        <v>Jurisdicción</v>
      </c>
      <c r="C19" s="39" t="str">
        <f>+VLOOKUP(A19,CONTROLES!A:W,23,0)</f>
        <v>EXCELENTE</v>
      </c>
      <c r="D19" s="42" t="str">
        <f>+VLOOKUP(A19,'RIESGO INHERENTE'!A:B,2,0)</f>
        <v>Se vinculen clientes ubicados en jurisdicciones consideradas como de Alto Riesgo</v>
      </c>
      <c r="E19" s="42" t="str">
        <f>+VLOOKUP(A19,'RIESGO INHERENTE'!A:N,4,0)</f>
        <v>Comercial</v>
      </c>
      <c r="F19" s="204">
        <f>+VLOOKUP(A19,'RIESGO INHERENTE'!A:R,15,0)</f>
        <v>5</v>
      </c>
      <c r="G19" s="205">
        <f>+VLOOKUP(A19,'RIESGO INHERENTE'!A:S,16,0)</f>
        <v>4</v>
      </c>
      <c r="H19" s="42">
        <f>+IF(F19*VLOOKUP(C19,CONTROLES!AF:AG,2,0)&lt;1,1,F19*VLOOKUP(C19,CONTROLES!AF:AG,2,0))</f>
        <v>4</v>
      </c>
      <c r="I19" s="42">
        <f>+IF(G19*VLOOKUP(C19,CONTROLES!AF:AG,2,0)&lt;1,1,G19*VLOOKUP(C19,CONTROLES!AF:AG,2,0))</f>
        <v>3.2</v>
      </c>
      <c r="J19" s="37">
        <f t="shared" si="0"/>
        <v>1</v>
      </c>
      <c r="K19" s="37">
        <f t="shared" si="1"/>
        <v>1</v>
      </c>
      <c r="L19" s="38">
        <f t="shared" si="4"/>
        <v>1</v>
      </c>
      <c r="M19" s="117" t="str">
        <f t="shared" si="5"/>
        <v>BAJO</v>
      </c>
    </row>
    <row r="20" spans="1:13" s="118" customFormat="1" ht="60" x14ac:dyDescent="0.25">
      <c r="A20" s="116">
        <f>'RIESGO INHERENTE'!A29</f>
        <v>18</v>
      </c>
      <c r="B20" s="42" t="str">
        <f>'RIESGO INHERENTE'!C29</f>
        <v>Jurisdicción</v>
      </c>
      <c r="C20" s="39" t="str">
        <f>+VLOOKUP(A20,CONTROLES!A:W,23,0)</f>
        <v>EXCELENTE</v>
      </c>
      <c r="D20" s="42" t="str">
        <f>+VLOOKUP(A20,'RIESGO INHERENTE'!A:B,2,0)</f>
        <v>Utilización de empresas de fachada para apoyar las actividades de lavado de activos – paraísos fiscales. (recopilación de tipologías regionales de gafilat: 2009 - 2016)</v>
      </c>
      <c r="E20" s="42" t="str">
        <f>+VLOOKUP(A20,'RIESGO INHERENTE'!A:N,4,0)</f>
        <v>Financiero</v>
      </c>
      <c r="F20" s="204">
        <f>+VLOOKUP(A20,'RIESGO INHERENTE'!A:R,15,0)</f>
        <v>5</v>
      </c>
      <c r="G20" s="205">
        <f>+VLOOKUP(A20,'RIESGO INHERENTE'!A:S,16,0)</f>
        <v>5</v>
      </c>
      <c r="H20" s="42">
        <f>+IF(F20*VLOOKUP(C20,CONTROLES!AF:AG,2,0)&lt;1,1,F20*VLOOKUP(C20,CONTROLES!AF:AG,2,0))</f>
        <v>4</v>
      </c>
      <c r="I20" s="42">
        <f>+IF(G20*VLOOKUP(C20,CONTROLES!AF:AG,2,0)&lt;1,1,G20*VLOOKUP(C20,CONTROLES!AF:AG,2,0))</f>
        <v>4</v>
      </c>
      <c r="J20" s="37">
        <f t="shared" si="0"/>
        <v>1</v>
      </c>
      <c r="K20" s="37">
        <f t="shared" si="1"/>
        <v>1</v>
      </c>
      <c r="L20" s="38">
        <f t="shared" si="4"/>
        <v>1</v>
      </c>
      <c r="M20" s="117" t="str">
        <f t="shared" si="5"/>
        <v>BAJO</v>
      </c>
    </row>
    <row r="21" spans="1:13" s="118" customFormat="1" ht="45" x14ac:dyDescent="0.25">
      <c r="A21" s="116">
        <f>'RIESGO INHERENTE'!A30</f>
        <v>19</v>
      </c>
      <c r="B21" s="42" t="str">
        <f>'RIESGO INHERENTE'!C30</f>
        <v>Producto</v>
      </c>
      <c r="C21" s="39" t="str">
        <f>+VLOOKUP(A21,CONTROLES!A:W,23,0)</f>
        <v>EXCELENTE</v>
      </c>
      <c r="D21" s="42" t="str">
        <f>+VLOOKUP(A21,'RIESGO INHERENTE'!A:B,2,0)</f>
        <v>Fiducia inmobiliaria recursos ilícitos del constructor (recopilación de tipologías regionales de gafilat: 2009 - 2016)</v>
      </c>
      <c r="E21" s="42" t="str">
        <f>+VLOOKUP(A21,'RIESGO INHERENTE'!A:N,4,0)</f>
        <v>Proceso 10</v>
      </c>
      <c r="F21" s="204">
        <f>+VLOOKUP(A21,'RIESGO INHERENTE'!A:R,15,0)</f>
        <v>5</v>
      </c>
      <c r="G21" s="205">
        <f>+VLOOKUP(A21,'RIESGO INHERENTE'!A:S,16,0)</f>
        <v>4</v>
      </c>
      <c r="H21" s="42">
        <f>+IF(F21*VLOOKUP(C21,CONTROLES!AF:AG,2,0)&lt;1,1,F21*VLOOKUP(C21,CONTROLES!AF:AG,2,0))</f>
        <v>4</v>
      </c>
      <c r="I21" s="42">
        <f>+IF(G21*VLOOKUP(C21,CONTROLES!AF:AG,2,0)&lt;1,1,G21*VLOOKUP(C21,CONTROLES!AF:AG,2,0))</f>
        <v>3.2</v>
      </c>
      <c r="J21" s="37">
        <f t="shared" si="0"/>
        <v>1</v>
      </c>
      <c r="K21" s="37">
        <f t="shared" si="1"/>
        <v>1</v>
      </c>
      <c r="L21" s="38">
        <f t="shared" si="4"/>
        <v>1</v>
      </c>
      <c r="M21" s="117" t="str">
        <f t="shared" si="5"/>
        <v>BAJO</v>
      </c>
    </row>
    <row r="22" spans="1:13" s="118" customFormat="1" ht="45" x14ac:dyDescent="0.25">
      <c r="A22" s="116">
        <f>'RIESGO INHERENTE'!A31</f>
        <v>20</v>
      </c>
      <c r="B22" s="42" t="str">
        <f>'RIESGO INHERENTE'!C31</f>
        <v>Contrapartes (Clientes, Proveedores, Empleados, Accionistas, Vinculados) y Partes interesadas.</v>
      </c>
      <c r="C22" s="39" t="str">
        <f>+VLOOKUP(A22,CONTROLES!A:W,23,0)</f>
        <v>EXCELENTE</v>
      </c>
      <c r="D22" s="42" t="str">
        <f>+VLOOKUP(A22,'RIESGO INHERENTE'!A:B,2,0)</f>
        <v>Invertir en activos que hayan sido adquiridos con dinero proveniente de actividades de LA/FT/FPADM.</v>
      </c>
      <c r="E22" s="42" t="str">
        <f>+VLOOKUP(A22,'RIESGO INHERENTE'!A:N,4,0)</f>
        <v>Operaciones</v>
      </c>
      <c r="F22" s="204">
        <f>+VLOOKUP(A22,'RIESGO INHERENTE'!A:R,15,0)</f>
        <v>4</v>
      </c>
      <c r="G22" s="205">
        <f>+VLOOKUP(A22,'RIESGO INHERENTE'!A:S,16,0)</f>
        <v>4</v>
      </c>
      <c r="H22" s="42">
        <f>+IF(F22*VLOOKUP(C22,CONTROLES!AF:AG,2,0)&lt;1,1,F22*VLOOKUP(C22,CONTROLES!AF:AG,2,0))</f>
        <v>3.2</v>
      </c>
      <c r="I22" s="42">
        <f>+IF(G22*VLOOKUP(C22,CONTROLES!AF:AG,2,0)&lt;1,1,G22*VLOOKUP(C22,CONTROLES!AF:AG,2,0))</f>
        <v>3.2</v>
      </c>
      <c r="J22" s="37">
        <f t="shared" si="0"/>
        <v>1</v>
      </c>
      <c r="K22" s="37">
        <f t="shared" si="1"/>
        <v>1</v>
      </c>
      <c r="L22" s="38">
        <f t="shared" si="4"/>
        <v>1</v>
      </c>
      <c r="M22" s="117" t="str">
        <f t="shared" si="5"/>
        <v>BAJO</v>
      </c>
    </row>
    <row r="23" spans="1:13" s="118" customFormat="1" ht="45" x14ac:dyDescent="0.25">
      <c r="A23" s="116">
        <f>'RIESGO INHERENTE'!A32</f>
        <v>21</v>
      </c>
      <c r="B23" s="42" t="str">
        <f>'RIESGO INHERENTE'!C32</f>
        <v>Producto</v>
      </c>
      <c r="C23" s="39" t="str">
        <f>+VLOOKUP(A23,CONTROLES!A:W,23,0)</f>
        <v>EXCELENTE</v>
      </c>
      <c r="D23" s="42" t="str">
        <f>+VLOOKUP(A23,'RIESGO INHERENTE'!A:B,2,0)</f>
        <v>Lavado de activos a través de negocios de fachada y el uso de testaferros (recopilación de tipologías regionales de gafilat: 2009 - 2016)</v>
      </c>
      <c r="E23" s="42" t="str">
        <f>+VLOOKUP(A23,'RIESGO INHERENTE'!A:N,4,0)</f>
        <v>Jurídica</v>
      </c>
      <c r="F23" s="204">
        <f>+VLOOKUP(A23,'RIESGO INHERENTE'!A:R,15,0)</f>
        <v>5</v>
      </c>
      <c r="G23" s="205">
        <f>+VLOOKUP(A23,'RIESGO INHERENTE'!A:S,16,0)</f>
        <v>5</v>
      </c>
      <c r="H23" s="42">
        <f>+IF(F23*VLOOKUP(C23,CONTROLES!AF:AG,2,0)&lt;1,1,F23*VLOOKUP(C23,CONTROLES!AF:AG,2,0))</f>
        <v>4</v>
      </c>
      <c r="I23" s="42">
        <f>+IF(G23*VLOOKUP(C23,CONTROLES!AF:AG,2,0)&lt;1,1,G23*VLOOKUP(C23,CONTROLES!AF:AG,2,0))</f>
        <v>4</v>
      </c>
      <c r="J23" s="37">
        <f t="shared" si="0"/>
        <v>1</v>
      </c>
      <c r="K23" s="37">
        <f t="shared" si="1"/>
        <v>1</v>
      </c>
      <c r="L23" s="38">
        <f t="shared" si="4"/>
        <v>1</v>
      </c>
      <c r="M23" s="117" t="str">
        <f t="shared" si="5"/>
        <v>BAJO</v>
      </c>
    </row>
    <row r="24" spans="1:13" ht="15.75" x14ac:dyDescent="0.25">
      <c r="C24" s="41"/>
      <c r="D24" s="41"/>
      <c r="E24" s="41"/>
      <c r="F24" s="41"/>
      <c r="G24" s="43" t="s">
        <v>144</v>
      </c>
      <c r="H24" s="82">
        <f>AVERAGE(H3:H23)</f>
        <v>3.6047619047619048</v>
      </c>
      <c r="I24" s="82">
        <f>AVERAGE(I3:I23)</f>
        <v>3.3238095238095244</v>
      </c>
      <c r="J24" s="82">
        <f>AVERAGE(J3:J23)</f>
        <v>1.0952380952380953</v>
      </c>
      <c r="K24" s="83">
        <f>+AVERAGE(K3:K23)</f>
        <v>1.0952380952380953</v>
      </c>
      <c r="L24" s="81">
        <f t="shared" si="2"/>
        <v>1.1995464852607711</v>
      </c>
      <c r="M24" s="36" t="str">
        <f t="shared" si="3"/>
        <v>BAJO</v>
      </c>
    </row>
  </sheetData>
  <mergeCells count="2">
    <mergeCell ref="L1:M1"/>
    <mergeCell ref="A1:D1"/>
  </mergeCells>
  <conditionalFormatting sqref="L3:L14">
    <cfRule type="containsText" dxfId="79" priority="60" stopIfTrue="1" operator="containsText" text="INACEPTABLE">
      <formula>NOT(ISERROR(SEARCH("INACEPTABLE",L3)))</formula>
    </cfRule>
  </conditionalFormatting>
  <conditionalFormatting sqref="L3:L14">
    <cfRule type="cellIs" dxfId="78" priority="59" stopIfTrue="1" operator="equal">
      <formula>"ACEPTABLE"</formula>
    </cfRule>
  </conditionalFormatting>
  <conditionalFormatting sqref="M3:M14 M24">
    <cfRule type="cellIs" dxfId="77" priority="55" operator="equal">
      <formula>"BAJO"</formula>
    </cfRule>
    <cfRule type="cellIs" dxfId="76" priority="56" operator="equal">
      <formula>"MEDIO"</formula>
    </cfRule>
    <cfRule type="cellIs" dxfId="75" priority="57" operator="equal">
      <formula>"EXTREMO"</formula>
    </cfRule>
    <cfRule type="cellIs" dxfId="74" priority="58" operator="equal">
      <formula>"ALTO"</formula>
    </cfRule>
  </conditionalFormatting>
  <conditionalFormatting sqref="L15">
    <cfRule type="containsText" dxfId="73" priority="54" stopIfTrue="1" operator="containsText" text="INACEPTABLE">
      <formula>NOT(ISERROR(SEARCH("INACEPTABLE",L15)))</formula>
    </cfRule>
  </conditionalFormatting>
  <conditionalFormatting sqref="L15">
    <cfRule type="cellIs" dxfId="72" priority="53" stopIfTrue="1" operator="equal">
      <formula>"ACEPTABLE"</formula>
    </cfRule>
  </conditionalFormatting>
  <conditionalFormatting sqref="M15">
    <cfRule type="cellIs" dxfId="71" priority="49" operator="equal">
      <formula>"BAJO"</formula>
    </cfRule>
    <cfRule type="cellIs" dxfId="70" priority="50" operator="equal">
      <formula>"MEDIO"</formula>
    </cfRule>
    <cfRule type="cellIs" dxfId="69" priority="51" operator="equal">
      <formula>"EXTREMO"</formula>
    </cfRule>
    <cfRule type="cellIs" dxfId="68" priority="52" operator="equal">
      <formula>"ALTO"</formula>
    </cfRule>
  </conditionalFormatting>
  <conditionalFormatting sqref="L16">
    <cfRule type="containsText" dxfId="67" priority="48" stopIfTrue="1" operator="containsText" text="INACEPTABLE">
      <formula>NOT(ISERROR(SEARCH("INACEPTABLE",L16)))</formula>
    </cfRule>
  </conditionalFormatting>
  <conditionalFormatting sqref="L16">
    <cfRule type="cellIs" dxfId="66" priority="47" stopIfTrue="1" operator="equal">
      <formula>"ACEPTABLE"</formula>
    </cfRule>
  </conditionalFormatting>
  <conditionalFormatting sqref="M16">
    <cfRule type="cellIs" dxfId="65" priority="43" operator="equal">
      <formula>"BAJO"</formula>
    </cfRule>
    <cfRule type="cellIs" dxfId="64" priority="44" operator="equal">
      <formula>"MEDIO"</formula>
    </cfRule>
    <cfRule type="cellIs" dxfId="63" priority="45" operator="equal">
      <formula>"EXTREMO"</formula>
    </cfRule>
    <cfRule type="cellIs" dxfId="62" priority="46" operator="equal">
      <formula>"ALTO"</formula>
    </cfRule>
  </conditionalFormatting>
  <conditionalFormatting sqref="L17">
    <cfRule type="containsText" dxfId="61" priority="42" stopIfTrue="1" operator="containsText" text="INACEPTABLE">
      <formula>NOT(ISERROR(SEARCH("INACEPTABLE",L17)))</formula>
    </cfRule>
  </conditionalFormatting>
  <conditionalFormatting sqref="L17">
    <cfRule type="cellIs" dxfId="60" priority="41" stopIfTrue="1" operator="equal">
      <formula>"ACEPTABLE"</formula>
    </cfRule>
  </conditionalFormatting>
  <conditionalFormatting sqref="M17">
    <cfRule type="cellIs" dxfId="59" priority="37" operator="equal">
      <formula>"BAJO"</formula>
    </cfRule>
    <cfRule type="cellIs" dxfId="58" priority="38" operator="equal">
      <formula>"MEDIO"</formula>
    </cfRule>
    <cfRule type="cellIs" dxfId="57" priority="39" operator="equal">
      <formula>"EXTREMO"</formula>
    </cfRule>
    <cfRule type="cellIs" dxfId="56" priority="40" operator="equal">
      <formula>"ALTO"</formula>
    </cfRule>
  </conditionalFormatting>
  <conditionalFormatting sqref="L18">
    <cfRule type="containsText" dxfId="55" priority="36" stopIfTrue="1" operator="containsText" text="INACEPTABLE">
      <formula>NOT(ISERROR(SEARCH("INACEPTABLE",L18)))</formula>
    </cfRule>
  </conditionalFormatting>
  <conditionalFormatting sqref="L18">
    <cfRule type="cellIs" dxfId="54" priority="35" stopIfTrue="1" operator="equal">
      <formula>"ACEPTABLE"</formula>
    </cfRule>
  </conditionalFormatting>
  <conditionalFormatting sqref="M18">
    <cfRule type="cellIs" dxfId="53" priority="31" operator="equal">
      <formula>"BAJO"</formula>
    </cfRule>
    <cfRule type="cellIs" dxfId="52" priority="32" operator="equal">
      <formula>"MEDIO"</formula>
    </cfRule>
    <cfRule type="cellIs" dxfId="51" priority="33" operator="equal">
      <formula>"EXTREMO"</formula>
    </cfRule>
    <cfRule type="cellIs" dxfId="50" priority="34" operator="equal">
      <formula>"ALTO"</formula>
    </cfRule>
  </conditionalFormatting>
  <conditionalFormatting sqref="L19">
    <cfRule type="containsText" dxfId="49" priority="30" stopIfTrue="1" operator="containsText" text="INACEPTABLE">
      <formula>NOT(ISERROR(SEARCH("INACEPTABLE",L19)))</formula>
    </cfRule>
  </conditionalFormatting>
  <conditionalFormatting sqref="L19">
    <cfRule type="cellIs" dxfId="48" priority="29" stopIfTrue="1" operator="equal">
      <formula>"ACEPTABLE"</formula>
    </cfRule>
  </conditionalFormatting>
  <conditionalFormatting sqref="M19">
    <cfRule type="cellIs" dxfId="47" priority="25" operator="equal">
      <formula>"BAJO"</formula>
    </cfRule>
    <cfRule type="cellIs" dxfId="46" priority="26" operator="equal">
      <formula>"MEDIO"</formula>
    </cfRule>
    <cfRule type="cellIs" dxfId="45" priority="27" operator="equal">
      <formula>"EXTREMO"</formula>
    </cfRule>
    <cfRule type="cellIs" dxfId="44" priority="28" operator="equal">
      <formula>"ALTO"</formula>
    </cfRule>
  </conditionalFormatting>
  <conditionalFormatting sqref="L20">
    <cfRule type="containsText" dxfId="43" priority="24" stopIfTrue="1" operator="containsText" text="INACEPTABLE">
      <formula>NOT(ISERROR(SEARCH("INACEPTABLE",L20)))</formula>
    </cfRule>
  </conditionalFormatting>
  <conditionalFormatting sqref="L20">
    <cfRule type="cellIs" dxfId="42" priority="23" stopIfTrue="1" operator="equal">
      <formula>"ACEPTABLE"</formula>
    </cfRule>
  </conditionalFormatting>
  <conditionalFormatting sqref="M20">
    <cfRule type="cellIs" dxfId="41" priority="19" operator="equal">
      <formula>"BAJO"</formula>
    </cfRule>
    <cfRule type="cellIs" dxfId="40" priority="20" operator="equal">
      <formula>"MEDIO"</formula>
    </cfRule>
    <cfRule type="cellIs" dxfId="39" priority="21" operator="equal">
      <formula>"EXTREMO"</formula>
    </cfRule>
    <cfRule type="cellIs" dxfId="38" priority="22" operator="equal">
      <formula>"ALTO"</formula>
    </cfRule>
  </conditionalFormatting>
  <conditionalFormatting sqref="L21">
    <cfRule type="containsText" dxfId="37" priority="18" stopIfTrue="1" operator="containsText" text="INACEPTABLE">
      <formula>NOT(ISERROR(SEARCH("INACEPTABLE",L21)))</formula>
    </cfRule>
  </conditionalFormatting>
  <conditionalFormatting sqref="L21">
    <cfRule type="cellIs" dxfId="36" priority="17" stopIfTrue="1" operator="equal">
      <formula>"ACEPTABLE"</formula>
    </cfRule>
  </conditionalFormatting>
  <conditionalFormatting sqref="M21">
    <cfRule type="cellIs" dxfId="35" priority="13" operator="equal">
      <formula>"BAJO"</formula>
    </cfRule>
    <cfRule type="cellIs" dxfId="34" priority="14" operator="equal">
      <formula>"MEDIO"</formula>
    </cfRule>
    <cfRule type="cellIs" dxfId="33" priority="15" operator="equal">
      <formula>"EXTREMO"</formula>
    </cfRule>
    <cfRule type="cellIs" dxfId="32" priority="16" operator="equal">
      <formula>"ALTO"</formula>
    </cfRule>
  </conditionalFormatting>
  <conditionalFormatting sqref="L22">
    <cfRule type="containsText" dxfId="31" priority="12" stopIfTrue="1" operator="containsText" text="INACEPTABLE">
      <formula>NOT(ISERROR(SEARCH("INACEPTABLE",L22)))</formula>
    </cfRule>
  </conditionalFormatting>
  <conditionalFormatting sqref="L22">
    <cfRule type="cellIs" dxfId="30" priority="11" stopIfTrue="1" operator="equal">
      <formula>"ACEPTABLE"</formula>
    </cfRule>
  </conditionalFormatting>
  <conditionalFormatting sqref="M22">
    <cfRule type="cellIs" dxfId="29" priority="7" operator="equal">
      <formula>"BAJO"</formula>
    </cfRule>
    <cfRule type="cellIs" dxfId="28" priority="8" operator="equal">
      <formula>"MEDIO"</formula>
    </cfRule>
    <cfRule type="cellIs" dxfId="27" priority="9" operator="equal">
      <formula>"EXTREMO"</formula>
    </cfRule>
    <cfRule type="cellIs" dxfId="26" priority="10" operator="equal">
      <formula>"ALTO"</formula>
    </cfRule>
  </conditionalFormatting>
  <conditionalFormatting sqref="L23">
    <cfRule type="containsText" dxfId="25" priority="6" stopIfTrue="1" operator="containsText" text="INACEPTABLE">
      <formula>NOT(ISERROR(SEARCH("INACEPTABLE",L23)))</formula>
    </cfRule>
  </conditionalFormatting>
  <conditionalFormatting sqref="L23">
    <cfRule type="cellIs" dxfId="24" priority="5" stopIfTrue="1" operator="equal">
      <formula>"ACEPTABLE"</formula>
    </cfRule>
  </conditionalFormatting>
  <conditionalFormatting sqref="M23">
    <cfRule type="cellIs" dxfId="23" priority="1" operator="equal">
      <formula>"BAJO"</formula>
    </cfRule>
    <cfRule type="cellIs" dxfId="22" priority="2" operator="equal">
      <formula>"MEDIO"</formula>
    </cfRule>
    <cfRule type="cellIs" dxfId="21" priority="3" operator="equal">
      <formula>"EXTREMO"</formula>
    </cfRule>
    <cfRule type="cellIs" dxfId="20" priority="4" operator="equal">
      <formula>"ALTO"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DATOS!$AS$2:$AS$17</xm:f>
          </x14:formula1>
          <xm:sqref>E3:E23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84EC749DD7DD4DA6DFD03CC7FDB3C5" ma:contentTypeVersion="2" ma:contentTypeDescription="Crear nuevo documento." ma:contentTypeScope="" ma:versionID="1473a84e08b94a098fc35432ec78f9d6">
  <xsd:schema xmlns:xsd="http://www.w3.org/2001/XMLSchema" xmlns:xs="http://www.w3.org/2001/XMLSchema" xmlns:p="http://schemas.microsoft.com/office/2006/metadata/properties" xmlns:ns2="2638e43d-b98e-4188-905a-5dad56af2736" targetNamespace="http://schemas.microsoft.com/office/2006/metadata/properties" ma:root="true" ma:fieldsID="859dd35a2b5806354dd3768de35beefb" ns2:_="">
    <xsd:import namespace="2638e43d-b98e-4188-905a-5dad56af2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8e43d-b98e-4188-905a-5dad56af2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5F9306-D6EA-4A26-92E4-208D6B78DF05}"/>
</file>

<file path=customXml/itemProps2.xml><?xml version="1.0" encoding="utf-8"?>
<ds:datastoreItem xmlns:ds="http://schemas.openxmlformats.org/officeDocument/2006/customXml" ds:itemID="{AB31CF2D-75FE-48F4-98B2-ADE0472CCE8C}"/>
</file>

<file path=customXml/itemProps3.xml><?xml version="1.0" encoding="utf-8"?>
<ds:datastoreItem xmlns:ds="http://schemas.openxmlformats.org/officeDocument/2006/customXml" ds:itemID="{5E431AE2-1122-4CA1-B759-B8404418C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MENU</vt:lpstr>
      <vt:lpstr>INTRODUCCION</vt:lpstr>
      <vt:lpstr>ESCENARIOS DE RIESGO</vt:lpstr>
      <vt:lpstr>RIESGO INHERENTE</vt:lpstr>
      <vt:lpstr>CONSOLIDADOXFACTOR RA</vt:lpstr>
      <vt:lpstr>CONSOLIDADOXFACTOR RI</vt:lpstr>
      <vt:lpstr>CONSOLIDADOXPROCESO RI</vt:lpstr>
      <vt:lpstr>CONTROLES</vt:lpstr>
      <vt:lpstr>RIESGO RESIDUAL</vt:lpstr>
      <vt:lpstr>CONSOLIDADOXFACTOR RR</vt:lpstr>
      <vt:lpstr>CONSOLIDADOXPROCESO RR</vt:lpstr>
      <vt:lpstr>MAPA RIESGO</vt:lpstr>
      <vt:lpstr>MAPA DE RIESGO FINAL</vt:lpstr>
      <vt:lpstr>DATOS</vt:lpstr>
      <vt:lpstr>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Zorro</dc:creator>
  <cp:lastModifiedBy>Usuario de Windows</cp:lastModifiedBy>
  <cp:lastPrinted>2021-08-24T13:07:56Z</cp:lastPrinted>
  <dcterms:created xsi:type="dcterms:W3CDTF">2021-08-19T01:04:42Z</dcterms:created>
  <dcterms:modified xsi:type="dcterms:W3CDTF">2021-09-27T20:34:38Z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0x0101001684EC749DD7DD4DA6DFD03CC7FDB3C5</vt:lpwstr>
  </property>
</Properties>
</file>